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5B2A0930-FBEE-CE4E-9DB3-E9DA66B3E344}" xr6:coauthVersionLast="47" xr6:coauthVersionMax="47" xr10:uidLastSave="{00000000-0000-0000-0000-000000000000}"/>
  <bookViews>
    <workbookView xWindow="0" yWindow="500" windowWidth="23260" windowHeight="12460" activeTab="1" xr2:uid="{00000000-000D-0000-FFFF-FFFF00000000}"/>
  </bookViews>
  <sheets>
    <sheet name="Pony's" sheetId="3" r:id="rId1"/>
    <sheet name="Paarden" sheetId="2" r:id="rId2"/>
  </sheets>
  <definedNames>
    <definedName name="_xlnm._FilterDatabase" localSheetId="1" hidden="1">Paarden!$A$28:$Z$28</definedName>
    <definedName name="_xlnm._FilterDatabase" localSheetId="0" hidden="1">'Pony''s'!$A$22:$Z$22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3" l="1"/>
  <c r="H34" i="2"/>
  <c r="H32" i="2"/>
  <c r="H46" i="2"/>
  <c r="H43" i="2"/>
  <c r="H29" i="2"/>
  <c r="H47" i="2"/>
  <c r="H14" i="3"/>
  <c r="H41" i="3"/>
  <c r="H40" i="3"/>
  <c r="H24" i="3"/>
  <c r="H18" i="2"/>
  <c r="H6" i="2"/>
  <c r="H30" i="3"/>
  <c r="H48" i="2"/>
  <c r="H16" i="3"/>
  <c r="H4" i="2"/>
  <c r="H39" i="3"/>
  <c r="H33" i="2"/>
  <c r="H23" i="3"/>
  <c r="H3" i="2"/>
  <c r="H10" i="3"/>
  <c r="H17" i="3"/>
  <c r="H38" i="2"/>
  <c r="H27" i="3"/>
  <c r="H44" i="2"/>
  <c r="H20" i="2"/>
  <c r="H29" i="3"/>
  <c r="H36" i="2"/>
  <c r="H35" i="2"/>
  <c r="H17" i="2"/>
  <c r="H37" i="2"/>
  <c r="H31" i="2"/>
  <c r="H34" i="3"/>
  <c r="H33" i="3"/>
  <c r="H23" i="2"/>
  <c r="F34" i="2"/>
  <c r="F32" i="2"/>
  <c r="F46" i="2"/>
  <c r="F43" i="2"/>
  <c r="F29" i="2"/>
  <c r="F47" i="2"/>
  <c r="F14" i="3"/>
  <c r="F41" i="3"/>
  <c r="F40" i="3"/>
  <c r="F24" i="3"/>
  <c r="F24" i="2"/>
  <c r="F18" i="2"/>
  <c r="F6" i="2"/>
  <c r="F30" i="3"/>
  <c r="F48" i="2"/>
  <c r="F16" i="3"/>
  <c r="F39" i="3"/>
  <c r="F4" i="2"/>
  <c r="F33" i="2"/>
  <c r="F23" i="3"/>
  <c r="F3" i="2"/>
  <c r="F10" i="3"/>
  <c r="F17" i="3"/>
  <c r="F38" i="2"/>
  <c r="F27" i="3"/>
  <c r="F44" i="2"/>
  <c r="F20" i="2"/>
  <c r="F29" i="3"/>
  <c r="F36" i="2"/>
  <c r="F17" i="2"/>
  <c r="F37" i="2"/>
  <c r="F33" i="3"/>
  <c r="D34" i="2"/>
  <c r="D32" i="2"/>
  <c r="D46" i="2"/>
  <c r="D43" i="2"/>
  <c r="D29" i="2"/>
  <c r="D47" i="2"/>
  <c r="D14" i="3"/>
  <c r="D41" i="3"/>
  <c r="D40" i="3"/>
  <c r="D24" i="3"/>
  <c r="D24" i="2"/>
  <c r="D18" i="2"/>
  <c r="D6" i="2"/>
  <c r="D30" i="3"/>
  <c r="D48" i="2"/>
  <c r="D16" i="3"/>
  <c r="D39" i="3"/>
  <c r="D4" i="2"/>
  <c r="D33" i="2"/>
  <c r="D23" i="3"/>
  <c r="D3" i="2"/>
  <c r="D10" i="3"/>
  <c r="D17" i="3"/>
  <c r="D38" i="2"/>
  <c r="D27" i="3"/>
  <c r="D44" i="2"/>
  <c r="D20" i="2"/>
  <c r="D36" i="2"/>
  <c r="D33" i="3"/>
  <c r="L34" i="2"/>
  <c r="L32" i="2"/>
  <c r="L46" i="2"/>
  <c r="L43" i="2"/>
  <c r="L29" i="2"/>
  <c r="L47" i="2"/>
  <c r="L14" i="3"/>
  <c r="L41" i="3"/>
  <c r="L40" i="3"/>
  <c r="L24" i="2"/>
  <c r="L18" i="2"/>
  <c r="L6" i="2"/>
  <c r="L30" i="3"/>
  <c r="L48" i="2"/>
  <c r="L16" i="3"/>
  <c r="L39" i="3"/>
  <c r="L4" i="2"/>
  <c r="L33" i="2"/>
  <c r="L23" i="3"/>
  <c r="L3" i="2"/>
  <c r="L10" i="3"/>
  <c r="L17" i="3"/>
  <c r="L38" i="2"/>
  <c r="L27" i="3"/>
  <c r="L44" i="2"/>
  <c r="L20" i="2"/>
  <c r="L29" i="3"/>
  <c r="L36" i="2"/>
  <c r="L35" i="2"/>
  <c r="L17" i="2"/>
  <c r="L37" i="2"/>
  <c r="L31" i="2"/>
  <c r="L34" i="3"/>
  <c r="L33" i="3"/>
  <c r="L23" i="2"/>
  <c r="N34" i="2"/>
  <c r="N32" i="2"/>
  <c r="N46" i="2"/>
  <c r="N43" i="2"/>
  <c r="N29" i="2"/>
  <c r="N47" i="2"/>
  <c r="N14" i="3"/>
  <c r="N41" i="3"/>
  <c r="N40" i="3"/>
  <c r="N24" i="3"/>
  <c r="N24" i="2"/>
  <c r="N18" i="2"/>
  <c r="N6" i="2"/>
  <c r="N30" i="3"/>
  <c r="N48" i="2"/>
  <c r="N16" i="3"/>
  <c r="N39" i="3"/>
  <c r="N4" i="2"/>
  <c r="N33" i="2"/>
  <c r="N23" i="3"/>
  <c r="N3" i="2"/>
  <c r="N10" i="3"/>
  <c r="N17" i="3"/>
  <c r="N38" i="2"/>
  <c r="N27" i="3"/>
  <c r="N44" i="2"/>
  <c r="N20" i="2"/>
  <c r="N29" i="3"/>
  <c r="N36" i="2"/>
  <c r="N35" i="2"/>
  <c r="N17" i="2"/>
  <c r="N37" i="2"/>
  <c r="N31" i="2"/>
  <c r="N34" i="3"/>
  <c r="N13" i="2"/>
  <c r="N35" i="3"/>
  <c r="N33" i="3"/>
  <c r="N23" i="2"/>
  <c r="N8" i="2"/>
  <c r="N19" i="2"/>
  <c r="N16" i="2"/>
  <c r="T34" i="2"/>
  <c r="T32" i="2"/>
  <c r="T46" i="2"/>
  <c r="T43" i="2"/>
  <c r="T29" i="2"/>
  <c r="T47" i="2"/>
  <c r="T14" i="3"/>
  <c r="T41" i="3"/>
  <c r="T40" i="3"/>
  <c r="T24" i="3"/>
  <c r="T24" i="2"/>
  <c r="T18" i="2"/>
  <c r="T6" i="2"/>
  <c r="T30" i="3"/>
  <c r="T48" i="2"/>
  <c r="T16" i="3"/>
  <c r="T39" i="3"/>
  <c r="T4" i="2"/>
  <c r="T33" i="2"/>
  <c r="T23" i="3"/>
  <c r="T3" i="2"/>
  <c r="T10" i="3"/>
  <c r="T38" i="2"/>
  <c r="T27" i="3"/>
  <c r="T44" i="2"/>
  <c r="T20" i="2"/>
  <c r="T29" i="3"/>
  <c r="T36" i="2"/>
  <c r="T35" i="2"/>
  <c r="T17" i="2"/>
  <c r="T37" i="2"/>
  <c r="T31" i="2"/>
  <c r="T33" i="3"/>
  <c r="R34" i="2"/>
  <c r="R32" i="2"/>
  <c r="R46" i="2"/>
  <c r="R43" i="2"/>
  <c r="R29" i="2"/>
  <c r="R47" i="2"/>
  <c r="R14" i="3"/>
  <c r="R33" i="3"/>
  <c r="J38" i="2"/>
  <c r="J34" i="2"/>
  <c r="J32" i="2"/>
  <c r="J46" i="2"/>
  <c r="J43" i="2"/>
  <c r="J29" i="2"/>
  <c r="J47" i="2"/>
  <c r="J14" i="3"/>
  <c r="J41" i="3"/>
  <c r="J40" i="3"/>
  <c r="J24" i="3"/>
  <c r="J24" i="2"/>
  <c r="J18" i="2"/>
  <c r="J6" i="2"/>
  <c r="J30" i="3"/>
  <c r="J48" i="2"/>
  <c r="J16" i="3"/>
  <c r="J4" i="2"/>
  <c r="J33" i="2"/>
  <c r="J23" i="3"/>
  <c r="J3" i="2"/>
  <c r="J10" i="3"/>
  <c r="J39" i="3"/>
  <c r="J17" i="3"/>
  <c r="J27" i="3"/>
  <c r="J44" i="2"/>
  <c r="J20" i="2"/>
  <c r="J29" i="3"/>
  <c r="J36" i="2"/>
  <c r="J35" i="2"/>
  <c r="J17" i="2"/>
  <c r="J37" i="2"/>
  <c r="J31" i="2"/>
  <c r="J34" i="3"/>
  <c r="J13" i="2"/>
  <c r="J35" i="3"/>
  <c r="J33" i="3"/>
  <c r="J23" i="2"/>
  <c r="J8" i="2"/>
  <c r="P34" i="2"/>
  <c r="P32" i="2"/>
  <c r="P46" i="2"/>
  <c r="P43" i="2"/>
  <c r="P29" i="2"/>
  <c r="P47" i="2"/>
  <c r="P14" i="3"/>
  <c r="P41" i="3"/>
  <c r="P40" i="3"/>
  <c r="P24" i="3"/>
  <c r="P24" i="2"/>
  <c r="P18" i="2"/>
  <c r="P6" i="2"/>
  <c r="P30" i="3"/>
  <c r="P48" i="2"/>
  <c r="P16" i="3"/>
  <c r="P39" i="3"/>
  <c r="P4" i="2"/>
  <c r="P33" i="2"/>
  <c r="P23" i="3"/>
  <c r="P33" i="3"/>
  <c r="P3" i="2"/>
  <c r="P10" i="3"/>
  <c r="P17" i="3"/>
  <c r="P27" i="3"/>
  <c r="P44" i="2"/>
  <c r="P20" i="2"/>
  <c r="P29" i="3"/>
  <c r="P42" i="3"/>
  <c r="P36" i="2"/>
  <c r="P35" i="2"/>
  <c r="P17" i="2"/>
  <c r="P37" i="2"/>
  <c r="P31" i="2"/>
  <c r="P34" i="3"/>
  <c r="P13" i="2"/>
  <c r="P35" i="3"/>
  <c r="P23" i="2"/>
  <c r="P8" i="2"/>
  <c r="P19" i="2"/>
  <c r="P16" i="2"/>
  <c r="P25" i="3"/>
  <c r="R41" i="3"/>
  <c r="R40" i="3"/>
  <c r="R24" i="3"/>
  <c r="R18" i="2"/>
  <c r="R6" i="2"/>
  <c r="R30" i="3"/>
  <c r="R48" i="2"/>
  <c r="R16" i="3"/>
  <c r="R33" i="2"/>
  <c r="R23" i="3"/>
  <c r="R10" i="3"/>
  <c r="R17" i="3"/>
  <c r="R38" i="2"/>
  <c r="R27" i="3"/>
  <c r="R44" i="2"/>
  <c r="R20" i="2"/>
  <c r="R29" i="3"/>
  <c r="R42" i="3"/>
  <c r="R36" i="2"/>
  <c r="R35" i="2"/>
  <c r="R17" i="2"/>
  <c r="R37" i="2"/>
  <c r="R31" i="2"/>
  <c r="R34" i="3"/>
  <c r="R13" i="2"/>
  <c r="R35" i="3"/>
  <c r="R23" i="2"/>
  <c r="R8" i="2"/>
  <c r="R19" i="2"/>
  <c r="R16" i="2"/>
  <c r="R25" i="3"/>
  <c r="T4" i="3"/>
  <c r="T42" i="2"/>
  <c r="T42" i="3"/>
  <c r="T32" i="3"/>
  <c r="T34" i="3"/>
  <c r="T13" i="2"/>
  <c r="T35" i="3"/>
  <c r="T8" i="2"/>
  <c r="T19" i="2"/>
  <c r="T16" i="2"/>
  <c r="T15" i="2"/>
  <c r="T25" i="3"/>
  <c r="T5" i="3"/>
  <c r="T21" i="2"/>
  <c r="T28" i="3"/>
  <c r="T26" i="3"/>
  <c r="T18" i="3"/>
  <c r="T10" i="2"/>
  <c r="T9" i="2"/>
  <c r="T31" i="3"/>
  <c r="T45" i="2"/>
  <c r="T13" i="3"/>
  <c r="T30" i="2"/>
  <c r="T15" i="3"/>
  <c r="T7" i="2"/>
  <c r="T6" i="3"/>
  <c r="T12" i="3"/>
  <c r="T11" i="3"/>
  <c r="T19" i="3"/>
  <c r="T14" i="2"/>
  <c r="T5" i="2"/>
  <c r="T12" i="2"/>
  <c r="T11" i="2"/>
  <c r="R15" i="2"/>
  <c r="R22" i="2"/>
  <c r="R21" i="2"/>
  <c r="R7" i="2"/>
  <c r="R14" i="2"/>
  <c r="R5" i="3"/>
  <c r="R32" i="3"/>
  <c r="R18" i="3"/>
  <c r="R26" i="3"/>
  <c r="R31" i="3"/>
  <c r="R4" i="3"/>
  <c r="R42" i="2"/>
  <c r="R10" i="2"/>
  <c r="R9" i="2"/>
  <c r="R45" i="2"/>
  <c r="R13" i="3"/>
  <c r="R30" i="2"/>
  <c r="R15" i="3"/>
  <c r="R6" i="3"/>
  <c r="R12" i="3"/>
  <c r="R11" i="3"/>
  <c r="R19" i="3"/>
  <c r="R5" i="2"/>
  <c r="P4" i="3"/>
  <c r="P42" i="2"/>
  <c r="P32" i="3"/>
  <c r="P15" i="2"/>
  <c r="P22" i="2"/>
  <c r="P5" i="3"/>
  <c r="P21" i="2"/>
  <c r="P28" i="3"/>
  <c r="P26" i="3"/>
  <c r="P18" i="3"/>
  <c r="P10" i="2"/>
  <c r="P9" i="2"/>
  <c r="P31" i="3"/>
  <c r="P45" i="2"/>
  <c r="P13" i="3"/>
  <c r="P30" i="2"/>
  <c r="P15" i="3"/>
  <c r="P7" i="2"/>
  <c r="P6" i="3"/>
  <c r="P12" i="3"/>
  <c r="P11" i="3"/>
  <c r="P19" i="3"/>
  <c r="P14" i="2"/>
  <c r="P5" i="2"/>
  <c r="N42" i="2"/>
  <c r="N25" i="3"/>
  <c r="N42" i="3"/>
  <c r="N15" i="2"/>
  <c r="N22" i="2"/>
  <c r="N21" i="2"/>
  <c r="N7" i="2"/>
  <c r="N14" i="2"/>
  <c r="N32" i="3"/>
  <c r="N4" i="3"/>
  <c r="N5" i="3"/>
  <c r="N28" i="3"/>
  <c r="N26" i="3"/>
  <c r="N9" i="2"/>
  <c r="N31" i="3"/>
  <c r="N18" i="3"/>
  <c r="N10" i="2"/>
  <c r="N45" i="2"/>
  <c r="N13" i="3"/>
  <c r="N30" i="2"/>
  <c r="N15" i="3"/>
  <c r="N12" i="3"/>
  <c r="N6" i="3"/>
  <c r="N11" i="3"/>
  <c r="N19" i="3"/>
  <c r="N12" i="2"/>
  <c r="N11" i="2"/>
  <c r="L42" i="2"/>
  <c r="L4" i="3"/>
  <c r="L42" i="3"/>
  <c r="L32" i="3"/>
  <c r="L13" i="2"/>
  <c r="L35" i="3"/>
  <c r="L8" i="2"/>
  <c r="L19" i="2"/>
  <c r="L16" i="2"/>
  <c r="L15" i="2"/>
  <c r="L25" i="3"/>
  <c r="L22" i="2"/>
  <c r="L5" i="3"/>
  <c r="L21" i="2"/>
  <c r="L28" i="3"/>
  <c r="L26" i="3"/>
  <c r="L18" i="3"/>
  <c r="L10" i="2"/>
  <c r="L9" i="2"/>
  <c r="L31" i="3"/>
  <c r="L45" i="2"/>
  <c r="L13" i="3"/>
  <c r="L30" i="2"/>
  <c r="L15" i="3"/>
  <c r="L7" i="2"/>
  <c r="L6" i="3"/>
  <c r="L12" i="3"/>
  <c r="L11" i="3"/>
  <c r="L19" i="3"/>
  <c r="L14" i="2"/>
  <c r="L5" i="2"/>
  <c r="L12" i="2"/>
  <c r="L11" i="2"/>
  <c r="J42" i="2"/>
  <c r="J4" i="3"/>
  <c r="J42" i="3"/>
  <c r="J32" i="3"/>
  <c r="J19" i="2"/>
  <c r="J16" i="2"/>
  <c r="J15" i="2"/>
  <c r="J25" i="3"/>
  <c r="J22" i="2"/>
  <c r="J5" i="3"/>
  <c r="J21" i="2"/>
  <c r="J28" i="3"/>
  <c r="J26" i="3"/>
  <c r="J18" i="3"/>
  <c r="J10" i="2"/>
  <c r="J9" i="2"/>
  <c r="J31" i="3"/>
  <c r="J45" i="2"/>
  <c r="J13" i="3"/>
  <c r="J30" i="2"/>
  <c r="J15" i="3"/>
  <c r="J6" i="3"/>
  <c r="J12" i="3"/>
  <c r="J11" i="3"/>
  <c r="J19" i="3"/>
  <c r="J14" i="2"/>
  <c r="J5" i="2"/>
  <c r="J12" i="2"/>
  <c r="J11" i="2"/>
  <c r="H42" i="2"/>
  <c r="H4" i="3"/>
  <c r="H42" i="3"/>
  <c r="H32" i="3"/>
  <c r="H13" i="2"/>
  <c r="H35" i="3"/>
  <c r="H8" i="2"/>
  <c r="H19" i="2"/>
  <c r="H16" i="2"/>
  <c r="H15" i="2"/>
  <c r="H25" i="3"/>
  <c r="H22" i="2"/>
  <c r="H21" i="2"/>
  <c r="H5" i="3"/>
  <c r="H26" i="3"/>
  <c r="H18" i="3"/>
  <c r="H10" i="2"/>
  <c r="H9" i="2"/>
  <c r="H31" i="3"/>
  <c r="H45" i="2"/>
  <c r="H13" i="3"/>
  <c r="H30" i="2"/>
  <c r="H15" i="3"/>
  <c r="H7" i="2"/>
  <c r="H6" i="3"/>
  <c r="H12" i="3"/>
  <c r="H11" i="3"/>
  <c r="H19" i="3"/>
  <c r="H14" i="2"/>
  <c r="H5" i="2"/>
  <c r="H12" i="2"/>
  <c r="H11" i="2"/>
  <c r="F42" i="2"/>
  <c r="F4" i="3"/>
  <c r="F42" i="3"/>
  <c r="F32" i="3"/>
  <c r="F35" i="2"/>
  <c r="F31" i="2"/>
  <c r="F34" i="3"/>
  <c r="F13" i="2"/>
  <c r="F35" i="3"/>
  <c r="F23" i="2"/>
  <c r="F8" i="2"/>
  <c r="F19" i="2"/>
  <c r="F16" i="2"/>
  <c r="F15" i="2"/>
  <c r="F22" i="2"/>
  <c r="F25" i="3"/>
  <c r="F5" i="3"/>
  <c r="F21" i="2"/>
  <c r="F28" i="3"/>
  <c r="F26" i="3"/>
  <c r="F18" i="3"/>
  <c r="F10" i="2"/>
  <c r="F9" i="2"/>
  <c r="F31" i="3"/>
  <c r="F45" i="2"/>
  <c r="F13" i="3"/>
  <c r="F30" i="2"/>
  <c r="F15" i="3"/>
  <c r="F7" i="2"/>
  <c r="F6" i="3"/>
  <c r="F12" i="3"/>
  <c r="F11" i="3"/>
  <c r="F19" i="3"/>
  <c r="F14" i="2"/>
  <c r="F5" i="2"/>
  <c r="F12" i="2"/>
  <c r="F11" i="2"/>
  <c r="D42" i="2"/>
  <c r="D4" i="3"/>
  <c r="D29" i="3"/>
  <c r="V29" i="3" s="1"/>
  <c r="W29" i="3" s="1"/>
  <c r="Y29" i="3" s="1"/>
  <c r="D42" i="3"/>
  <c r="D32" i="3"/>
  <c r="D35" i="2"/>
  <c r="D17" i="2"/>
  <c r="D37" i="2"/>
  <c r="D31" i="2"/>
  <c r="D34" i="3"/>
  <c r="D13" i="2"/>
  <c r="X34" i="3"/>
  <c r="D35" i="3"/>
  <c r="D23" i="2"/>
  <c r="D8" i="2"/>
  <c r="D19" i="2"/>
  <c r="D16" i="2"/>
  <c r="D15" i="2"/>
  <c r="D25" i="3"/>
  <c r="D22" i="2"/>
  <c r="D5" i="3"/>
  <c r="D21" i="2"/>
  <c r="D28" i="3"/>
  <c r="D26" i="3"/>
  <c r="D18" i="3"/>
  <c r="D10" i="2"/>
  <c r="D9" i="2"/>
  <c r="D31" i="3"/>
  <c r="D45" i="2"/>
  <c r="D13" i="3"/>
  <c r="D30" i="2"/>
  <c r="D15" i="3"/>
  <c r="D7" i="2"/>
  <c r="X18" i="2"/>
  <c r="D6" i="3"/>
  <c r="D12" i="3"/>
  <c r="D11" i="3"/>
  <c r="D19" i="3"/>
  <c r="D14" i="2"/>
  <c r="D5" i="2"/>
  <c r="D12" i="2"/>
  <c r="D11" i="2"/>
  <c r="X4" i="3"/>
  <c r="X5" i="3"/>
  <c r="X6" i="3"/>
  <c r="X41" i="3"/>
  <c r="X40" i="3"/>
  <c r="X39" i="3"/>
  <c r="X42" i="3"/>
  <c r="X24" i="3"/>
  <c r="X30" i="3"/>
  <c r="X23" i="3"/>
  <c r="X27" i="3"/>
  <c r="X29" i="3"/>
  <c r="X32" i="3"/>
  <c r="X35" i="3"/>
  <c r="X33" i="3"/>
  <c r="X25" i="3"/>
  <c r="X28" i="3"/>
  <c r="X26" i="3"/>
  <c r="X31" i="3"/>
  <c r="X14" i="3"/>
  <c r="X16" i="3"/>
  <c r="X10" i="3"/>
  <c r="X17" i="3"/>
  <c r="X18" i="3"/>
  <c r="X13" i="3"/>
  <c r="X15" i="3"/>
  <c r="X12" i="3"/>
  <c r="X11" i="3"/>
  <c r="X19" i="3"/>
  <c r="X42" i="2"/>
  <c r="X43" i="2"/>
  <c r="X47" i="2"/>
  <c r="X48" i="2"/>
  <c r="X46" i="2"/>
  <c r="X44" i="2"/>
  <c r="X45" i="2"/>
  <c r="X24" i="2"/>
  <c r="X6" i="2"/>
  <c r="X4" i="2"/>
  <c r="V4" i="2"/>
  <c r="W4" i="2" s="1"/>
  <c r="X3" i="2"/>
  <c r="X20" i="2"/>
  <c r="X17" i="2"/>
  <c r="X13" i="2"/>
  <c r="X23" i="2"/>
  <c r="X8" i="2"/>
  <c r="X19" i="2"/>
  <c r="X16" i="2"/>
  <c r="X15" i="2"/>
  <c r="X22" i="2"/>
  <c r="X21" i="2"/>
  <c r="X10" i="2"/>
  <c r="X9" i="2"/>
  <c r="X7" i="2"/>
  <c r="X14" i="2"/>
  <c r="X5" i="2"/>
  <c r="X12" i="2"/>
  <c r="X11" i="2"/>
  <c r="X30" i="2"/>
  <c r="X31" i="2"/>
  <c r="X37" i="2"/>
  <c r="X35" i="2"/>
  <c r="X36" i="2"/>
  <c r="X38" i="2"/>
  <c r="X33" i="2"/>
  <c r="X29" i="2"/>
  <c r="X32" i="2"/>
  <c r="X34" i="2"/>
  <c r="V48" i="2" l="1"/>
  <c r="W48" i="2" s="1"/>
  <c r="V30" i="3"/>
  <c r="W30" i="3" s="1"/>
  <c r="V43" i="2"/>
  <c r="W43" i="2" s="1"/>
  <c r="Y30" i="3"/>
  <c r="V46" i="2"/>
  <c r="W46" i="2" s="1"/>
  <c r="Y46" i="2" s="1"/>
  <c r="V24" i="3"/>
  <c r="W24" i="3" s="1"/>
  <c r="Y24" i="3" s="1"/>
  <c r="V16" i="3"/>
  <c r="W16" i="3" s="1"/>
  <c r="Y16" i="3" s="1"/>
  <c r="V23" i="3"/>
  <c r="W23" i="3" s="1"/>
  <c r="Y23" i="3" s="1"/>
  <c r="V38" i="2"/>
  <c r="W38" i="2" s="1"/>
  <c r="Y38" i="2" s="1"/>
  <c r="V24" i="2"/>
  <c r="W24" i="2" s="1"/>
  <c r="V37" i="2"/>
  <c r="W37" i="2" s="1"/>
  <c r="Y37" i="2" s="1"/>
  <c r="V33" i="2"/>
  <c r="W33" i="2" s="1"/>
  <c r="Y33" i="2" s="1"/>
  <c r="V32" i="2"/>
  <c r="W32" i="2" s="1"/>
  <c r="Y32" i="2" s="1"/>
  <c r="V47" i="2"/>
  <c r="W47" i="2" s="1"/>
  <c r="Y47" i="2" s="1"/>
  <c r="V39" i="3"/>
  <c r="W39" i="3" s="1"/>
  <c r="Y39" i="3" s="1"/>
  <c r="V27" i="3"/>
  <c r="W27" i="3" s="1"/>
  <c r="Y27" i="3" s="1"/>
  <c r="V44" i="2"/>
  <c r="W44" i="2" s="1"/>
  <c r="Y44" i="2" s="1"/>
  <c r="V17" i="2"/>
  <c r="W17" i="2" s="1"/>
  <c r="Y17" i="2" s="1"/>
  <c r="V33" i="3"/>
  <c r="W33" i="3" s="1"/>
  <c r="Y33" i="3" s="1"/>
  <c r="V3" i="2"/>
  <c r="W3" i="2" s="1"/>
  <c r="Y3" i="2" s="1"/>
  <c r="V20" i="2"/>
  <c r="W20" i="2" s="1"/>
  <c r="Y20" i="2" s="1"/>
  <c r="V34" i="2"/>
  <c r="W34" i="2" s="1"/>
  <c r="Y34" i="2" s="1"/>
  <c r="V29" i="2"/>
  <c r="W29" i="2" s="1"/>
  <c r="Y29" i="2" s="1"/>
  <c r="V14" i="3"/>
  <c r="W14" i="3" s="1"/>
  <c r="Y14" i="3" s="1"/>
  <c r="V6" i="2"/>
  <c r="W6" i="2" s="1"/>
  <c r="Y6" i="2" s="1"/>
  <c r="V17" i="3"/>
  <c r="W17" i="3" s="1"/>
  <c r="Y17" i="3" s="1"/>
  <c r="V36" i="2"/>
  <c r="W36" i="2" s="1"/>
  <c r="Y36" i="2" s="1"/>
  <c r="V35" i="2"/>
  <c r="W35" i="2" s="1"/>
  <c r="Y35" i="2" s="1"/>
  <c r="V23" i="2"/>
  <c r="W23" i="2" s="1"/>
  <c r="V41" i="3"/>
  <c r="W41" i="3" s="1"/>
  <c r="Y41" i="3" s="1"/>
  <c r="V40" i="3"/>
  <c r="W40" i="3" s="1"/>
  <c r="Y40" i="3" s="1"/>
  <c r="V18" i="2"/>
  <c r="W18" i="2" s="1"/>
  <c r="Y18" i="2" s="1"/>
  <c r="V10" i="3"/>
  <c r="W10" i="3" s="1"/>
  <c r="Y10" i="3" s="1"/>
  <c r="V31" i="2"/>
  <c r="W31" i="2" s="1"/>
  <c r="Y31" i="2" s="1"/>
  <c r="V19" i="2"/>
  <c r="W19" i="2" s="1"/>
  <c r="Y19" i="2" s="1"/>
  <c r="V25" i="3"/>
  <c r="W25" i="3" s="1"/>
  <c r="Y25" i="3" s="1"/>
  <c r="V32" i="3"/>
  <c r="W32" i="3" s="1"/>
  <c r="Y32" i="3" s="1"/>
  <c r="V31" i="3"/>
  <c r="W31" i="3" s="1"/>
  <c r="Y31" i="3" s="1"/>
  <c r="V10" i="2"/>
  <c r="W10" i="2" s="1"/>
  <c r="Y10" i="2" s="1"/>
  <c r="V30" i="2"/>
  <c r="W30" i="2" s="1"/>
  <c r="Y30" i="2" s="1"/>
  <c r="V11" i="3"/>
  <c r="W11" i="3" s="1"/>
  <c r="Y11" i="3" s="1"/>
  <c r="V13" i="2"/>
  <c r="W13" i="2" s="1"/>
  <c r="Y13" i="2" s="1"/>
  <c r="V16" i="2"/>
  <c r="W16" i="2" s="1"/>
  <c r="Y16" i="2" s="1"/>
  <c r="V15" i="2"/>
  <c r="W15" i="2" s="1"/>
  <c r="Y15" i="2" s="1"/>
  <c r="V22" i="2"/>
  <c r="W22" i="2" s="1"/>
  <c r="V5" i="3"/>
  <c r="W5" i="3" s="1"/>
  <c r="Y5" i="3" s="1"/>
  <c r="V13" i="3"/>
  <c r="W13" i="3" s="1"/>
  <c r="Y13" i="3" s="1"/>
  <c r="V15" i="3"/>
  <c r="W15" i="3" s="1"/>
  <c r="Y15" i="3" s="1"/>
  <c r="V7" i="2"/>
  <c r="W7" i="2" s="1"/>
  <c r="Y7" i="2" s="1"/>
  <c r="V42" i="2"/>
  <c r="W42" i="2" s="1"/>
  <c r="Y42" i="2" s="1"/>
  <c r="V4" i="3"/>
  <c r="W4" i="3" s="1"/>
  <c r="Y4" i="3" s="1"/>
  <c r="V34" i="3"/>
  <c r="W34" i="3" s="1"/>
  <c r="Y34" i="3" s="1"/>
  <c r="V35" i="3"/>
  <c r="W35" i="3" s="1"/>
  <c r="V8" i="2"/>
  <c r="W8" i="2" s="1"/>
  <c r="Y8" i="2" s="1"/>
  <c r="V42" i="3"/>
  <c r="W42" i="3" s="1"/>
  <c r="Y42" i="3" s="1"/>
  <c r="V21" i="2"/>
  <c r="W21" i="2" s="1"/>
  <c r="V28" i="3"/>
  <c r="W28" i="3" s="1"/>
  <c r="Y28" i="3" s="1"/>
  <c r="V26" i="3"/>
  <c r="W26" i="3" s="1"/>
  <c r="Y26" i="3" s="1"/>
  <c r="V18" i="3"/>
  <c r="W18" i="3" s="1"/>
  <c r="Y18" i="3" s="1"/>
  <c r="V9" i="2"/>
  <c r="W9" i="2" s="1"/>
  <c r="Y9" i="2" s="1"/>
  <c r="V45" i="2"/>
  <c r="W45" i="2" s="1"/>
  <c r="Y45" i="2" s="1"/>
  <c r="V6" i="3"/>
  <c r="W6" i="3" s="1"/>
  <c r="Y6" i="3" s="1"/>
  <c r="V12" i="3"/>
  <c r="W12" i="3" s="1"/>
  <c r="Y12" i="3" s="1"/>
  <c r="V19" i="3"/>
  <c r="W19" i="3" s="1"/>
  <c r="V14" i="2"/>
  <c r="W14" i="2" s="1"/>
  <c r="Y14" i="2" s="1"/>
  <c r="V5" i="2"/>
  <c r="W5" i="2" s="1"/>
  <c r="Y5" i="2" s="1"/>
  <c r="V12" i="2"/>
  <c r="W12" i="2" s="1"/>
  <c r="Y12" i="2" s="1"/>
  <c r="V11" i="2"/>
  <c r="W11" i="2" s="1"/>
  <c r="Y11" i="2" s="1"/>
  <c r="Y4" i="2"/>
  <c r="Y43" i="2"/>
</calcChain>
</file>

<file path=xl/sharedStrings.xml><?xml version="1.0" encoding="utf-8"?>
<sst xmlns="http://schemas.openxmlformats.org/spreadsheetml/2006/main" count="264" uniqueCount="100">
  <si>
    <t>Dubbelspan paard</t>
  </si>
  <si>
    <t>Nr.</t>
  </si>
  <si>
    <t>Cat.</t>
  </si>
  <si>
    <t>Deelnemer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</si>
  <si>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</si>
  <si>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</si>
  <si>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</si>
  <si>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</si>
  <si>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</si>
  <si>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</si>
  <si>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</si>
  <si>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</si>
  <si>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</si>
  <si>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Tijd</t>
  </si>
  <si>
    <t>Punten</t>
  </si>
  <si>
    <t>Straf</t>
  </si>
  <si>
    <t>Totaal</t>
  </si>
  <si>
    <t>Plaats</t>
  </si>
  <si>
    <t>Dubbelspan pony</t>
  </si>
  <si>
    <t>Enkelspan paard</t>
  </si>
  <si>
    <t>Enkelspan pony</t>
  </si>
  <si>
    <t>Vierspan paard</t>
  </si>
  <si>
    <t>Tandem pony</t>
  </si>
  <si>
    <t>EPA</t>
  </si>
  <si>
    <t>Anna Reinouw Tibma</t>
  </si>
  <si>
    <t>Edith Idsardi-Sinnige</t>
  </si>
  <si>
    <t>Pieter de Boer</t>
  </si>
  <si>
    <t>EPO</t>
  </si>
  <si>
    <t>Carina de Vos</t>
  </si>
  <si>
    <t>VPA</t>
  </si>
  <si>
    <t>Anne Okkema (1e)</t>
  </si>
  <si>
    <t>Anieke Dekker</t>
  </si>
  <si>
    <t>Egbert Jan de Vries</t>
  </si>
  <si>
    <t>Jeugd</t>
  </si>
  <si>
    <t>Samantha van der Bel</t>
  </si>
  <si>
    <t>DPA</t>
  </si>
  <si>
    <t>Jetske Broos</t>
  </si>
  <si>
    <t>Rieneke van der Ploeg</t>
  </si>
  <si>
    <t>Harmen van der Werf</t>
  </si>
  <si>
    <t>Lieke Huizinga</t>
  </si>
  <si>
    <t>Manon Boorsma</t>
  </si>
  <si>
    <t>Lyanne Zuidema</t>
  </si>
  <si>
    <t>Jan Dijk</t>
  </si>
  <si>
    <t>Amber Zut</t>
  </si>
  <si>
    <t>Gerte Hoogewerf</t>
  </si>
  <si>
    <t>Esther Veenstra</t>
  </si>
  <si>
    <t>DPO</t>
  </si>
  <si>
    <t>Klaas Bakker</t>
  </si>
  <si>
    <t>Ylanyth de Vries</t>
  </si>
  <si>
    <t>Durk Wisseman</t>
  </si>
  <si>
    <t>Jan de Jong</t>
  </si>
  <si>
    <t xml:space="preserve">DPO </t>
  </si>
  <si>
    <t>Jeffry Kinds</t>
  </si>
  <si>
    <t>Melanie Heins</t>
  </si>
  <si>
    <t>Theo Hendrick</t>
  </si>
  <si>
    <t>Klaas van der Veer</t>
  </si>
  <si>
    <t>Sam Koops</t>
  </si>
  <si>
    <t>Kylian van Andel</t>
  </si>
  <si>
    <t>Wendy Metz</t>
  </si>
  <si>
    <t>Peter Metz</t>
  </si>
  <si>
    <t>Pieter Lublink</t>
  </si>
  <si>
    <t>TPO</t>
  </si>
  <si>
    <t>Sido Kloosterman</t>
  </si>
  <si>
    <t>Anne Fopma</t>
  </si>
  <si>
    <t>Carolien Fischer</t>
  </si>
  <si>
    <t>Henry Borg</t>
  </si>
  <si>
    <t>Marijke van Rooijen</t>
  </si>
  <si>
    <t>Obe Veldman</t>
  </si>
  <si>
    <t>Eddy Poog</t>
  </si>
  <si>
    <t>Dominique de Gelder</t>
  </si>
  <si>
    <t>Sophie ter Brugge</t>
  </si>
  <si>
    <t>Sander Koning</t>
  </si>
  <si>
    <t>Jan Schalen</t>
  </si>
  <si>
    <t>Jaap van der Wal</t>
  </si>
  <si>
    <t>Jacob Huisma</t>
  </si>
  <si>
    <t>Pieter Douma</t>
  </si>
  <si>
    <t>Frans Zeinstra</t>
  </si>
  <si>
    <t>Atsje Bosgraaf</t>
  </si>
  <si>
    <t>Tsjerk de Jong</t>
  </si>
  <si>
    <t>Sandra Rusticus</t>
  </si>
  <si>
    <t>Monte Visser</t>
  </si>
  <si>
    <t>Rob Meijer</t>
  </si>
  <si>
    <t>Klaas Kraan</t>
  </si>
  <si>
    <t>Grietje Venema</t>
  </si>
  <si>
    <t>Henk Dijkstra</t>
  </si>
  <si>
    <t>Sicco Postma</t>
  </si>
  <si>
    <t>Petruska Timmer</t>
  </si>
  <si>
    <t>Paul de Jong</t>
  </si>
  <si>
    <t>Gert-Jan Dekker</t>
  </si>
  <si>
    <t>Jeldau de Vries</t>
  </si>
  <si>
    <t>Saskia Lems</t>
  </si>
  <si>
    <t>Bernardus Gijzen</t>
  </si>
  <si>
    <t>Bauke Meindertsma</t>
  </si>
  <si>
    <t>Gerard Hoeksma</t>
  </si>
  <si>
    <t>Jelmer Chardon</t>
  </si>
  <si>
    <t>Anne Okkema (2e)</t>
  </si>
  <si>
    <t>Richard Hofstra</t>
  </si>
  <si>
    <t>Albert Postma</t>
  </si>
  <si>
    <t>Theo de Boer</t>
  </si>
  <si>
    <t>Sylke Koopmans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</si>
</sst>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2" xfId="0" applyFont="1" applyBorder="1"/>
    <xf numFmtId="0" fontId="2" fillId="0" borderId="14" xfId="0" applyFont="1" applyBorder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2" fontId="2" fillId="0" borderId="0" xfId="0" quotePrefix="1" applyNumberFormat="1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2" fontId="1" fillId="0" borderId="7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0" xfId="0" applyFont="1"/>
    <xf numFmtId="2" fontId="1" fillId="0" borderId="9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4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/>
    <xf numFmtId="2" fontId="2" fillId="0" borderId="19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  <xf numFmtId="0" fontId="3" fillId="0" borderId="3" xfId="0" applyFont="1" applyBorder="1"/>
    <xf numFmtId="0" fontId="2" fillId="0" borderId="20" xfId="0" applyFont="1" applyBorder="1"/>
    <xf numFmtId="0" fontId="2" fillId="0" borderId="1" xfId="0" applyFont="1" applyBorder="1"/>
    <xf numFmtId="2" fontId="2" fillId="0" borderId="17" xfId="0" applyNumberFormat="1" applyFont="1" applyBorder="1"/>
    <xf numFmtId="0" fontId="2" fillId="0" borderId="4" xfId="0" applyFont="1" applyBorder="1"/>
    <xf numFmtId="2" fontId="2" fillId="0" borderId="4" xfId="0" applyNumberFormat="1" applyFont="1" applyBorder="1"/>
    <xf numFmtId="0" fontId="3" fillId="0" borderId="4" xfId="0" applyFont="1" applyBorder="1"/>
    <xf numFmtId="0" fontId="2" fillId="0" borderId="18" xfId="0" applyFont="1" applyBorder="1"/>
    <xf numFmtId="2" fontId="2" fillId="0" borderId="15" xfId="0" applyNumberFormat="1" applyFont="1" applyBorder="1"/>
    <xf numFmtId="0" fontId="2" fillId="0" borderId="5" xfId="0" applyFont="1" applyBorder="1"/>
    <xf numFmtId="2" fontId="2" fillId="0" borderId="5" xfId="0" applyNumberFormat="1" applyFont="1" applyBorder="1"/>
    <xf numFmtId="0" fontId="3" fillId="0" borderId="5" xfId="0" applyFont="1" applyBorder="1"/>
    <xf numFmtId="0" fontId="2" fillId="0" borderId="16" xfId="0" applyFont="1" applyBorder="1"/>
    <xf numFmtId="2" fontId="2" fillId="0" borderId="2" xfId="0" applyNumberFormat="1" applyFont="1" applyBorder="1"/>
    <xf numFmtId="2" fontId="2" fillId="0" borderId="13" xfId="0" quotePrefix="1" applyNumberFormat="1" applyFont="1" applyBorder="1"/>
    <xf numFmtId="0" fontId="3" fillId="0" borderId="2" xfId="0" applyFont="1" applyBorder="1"/>
    <xf numFmtId="2" fontId="2" fillId="0" borderId="2" xfId="0" quotePrefix="1" applyNumberFormat="1" applyFont="1" applyBorder="1"/>
    <xf numFmtId="2" fontId="2" fillId="0" borderId="1" xfId="0" applyNumberFormat="1" applyFont="1" applyBorder="1"/>
    <xf numFmtId="2" fontId="2" fillId="0" borderId="1" xfId="0" quotePrefix="1" applyNumberFormat="1" applyFont="1" applyBorder="1"/>
    <xf numFmtId="0" fontId="3" fillId="0" borderId="1" xfId="0" applyFont="1" applyBorder="1"/>
    <xf numFmtId="0" fontId="1" fillId="0" borderId="11" xfId="0" applyFont="1" applyBorder="1" applyAlignment="1">
      <alignment horizontal="center"/>
    </xf>
    <xf numFmtId="2" fontId="2" fillId="0" borderId="21" xfId="0" applyNumberFormat="1" applyFont="1" applyBorder="1"/>
    <xf numFmtId="0" fontId="2" fillId="0" borderId="22" xfId="0" applyFont="1" applyBorder="1"/>
    <xf numFmtId="2" fontId="2" fillId="0" borderId="22" xfId="0" applyNumberFormat="1" applyFont="1" applyBorder="1"/>
    <xf numFmtId="0" fontId="3" fillId="0" borderId="22" xfId="0" applyFont="1" applyBorder="1"/>
    <xf numFmtId="0" fontId="2" fillId="0" borderId="23" xfId="0" applyFont="1" applyBorder="1"/>
    <xf numFmtId="2" fontId="1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0" fontId="2" fillId="0" borderId="25" xfId="0" applyFont="1" applyBorder="1"/>
    <xf numFmtId="0" fontId="4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3A2E-B5E1-4CA2-985B-05EAE8B0134F}">
  <sheetPr>
    <pageSetUpPr fitToPage="1"/>
  </sheetPr>
  <dimension ref="A2:Z42"/>
  <sheetViews>
    <sheetView topLeftCell="A16" zoomScale="70" zoomScaleNormal="70" workbookViewId="0">
      <selection activeCell="AB27" sqref="AB27"/>
    </sheetView>
  </sheetViews>
  <sheetFormatPr baseColWidth="10" defaultColWidth="8.83203125" defaultRowHeight="15" x14ac:dyDescent="0.2"/>
  <cols>
    <col min="3" max="3" width="31.1640625" bestFit="1" customWidth="1"/>
    <col min="4" max="4" width="10.5" bestFit="1" customWidth="1"/>
    <col min="8" max="8" width="10.5" bestFit="1" customWidth="1"/>
    <col min="12" max="12" width="10.5" bestFit="1" customWidth="1"/>
    <col min="20" max="20" width="10.5" bestFit="1" customWidth="1"/>
    <col min="22" max="22" width="10.5" bestFit="1" customWidth="1"/>
    <col min="23" max="23" width="11.33203125" bestFit="1" customWidth="1"/>
    <col min="24" max="24" width="9.5" bestFit="1" customWidth="1"/>
    <col min="25" max="25" width="13.83203125" bestFit="1" customWidth="1"/>
  </cols>
  <sheetData>
    <row r="2" spans="1:26" ht="19" thickBot="1" x14ac:dyDescent="0.25">
      <c r="A2" s="15" t="s">
        <v>33</v>
      </c>
      <c r="B2" s="3"/>
      <c r="C2" s="3"/>
      <c r="D2" s="4"/>
      <c r="E2" s="3"/>
      <c r="F2" s="4"/>
      <c r="G2" s="3"/>
      <c r="H2" s="4"/>
      <c r="I2" s="5"/>
      <c r="J2" s="4"/>
      <c r="K2" s="3"/>
      <c r="L2" s="4"/>
      <c r="M2" s="3"/>
      <c r="N2" s="4"/>
      <c r="O2" s="3"/>
      <c r="P2" s="4"/>
      <c r="Q2" s="3"/>
      <c r="R2" s="4"/>
      <c r="S2" s="3"/>
      <c r="T2" s="4"/>
      <c r="U2" s="3"/>
      <c r="V2" s="4"/>
      <c r="W2" s="4"/>
      <c r="X2" s="3"/>
      <c r="Y2" s="6"/>
      <c r="Z2" s="5"/>
    </row>
    <row r="3" spans="1:26" ht="19" thickBot="1" x14ac:dyDescent="0.25">
      <c r="A3" s="7" t="s">
        <v>1</v>
      </c>
      <c r="B3" s="8" t="s">
        <v>2</v>
      </c>
      <c r="C3" s="9" t="s">
        <v>3</v>
      </c>
      <c r="D3" s="10" t="s">
        <v>4</v>
      </c>
      <c r="E3" s="12"/>
      <c r="F3" s="17" t="s">
        <v>5</v>
      </c>
      <c r="G3" s="18"/>
      <c r="H3" s="17" t="s">
        <v>6</v>
      </c>
      <c r="I3" s="19"/>
      <c r="J3" s="17" t="s">
        <v>7</v>
      </c>
      <c r="K3" s="12"/>
      <c r="L3" s="17" t="s">
        <v>8</v>
      </c>
      <c r="M3" s="12"/>
      <c r="N3" s="17" t="s">
        <v>9</v>
      </c>
      <c r="O3" s="12"/>
      <c r="P3" s="17" t="s">
        <v>10</v>
      </c>
      <c r="Q3" s="12"/>
      <c r="R3" s="17" t="s">
        <v>11</v>
      </c>
      <c r="S3" s="12"/>
      <c r="T3" s="17" t="s">
        <v>12</v>
      </c>
      <c r="U3" s="20"/>
      <c r="V3" s="10" t="s">
        <v>13</v>
      </c>
      <c r="W3" s="11" t="s">
        <v>14</v>
      </c>
      <c r="X3" s="12" t="s">
        <v>15</v>
      </c>
      <c r="Y3" s="16" t="s">
        <v>16</v>
      </c>
      <c r="Z3" s="14" t="s">
        <v>17</v>
      </c>
    </row>
    <row r="4" spans="1:26" ht="18" x14ac:dyDescent="0.2">
      <c r="A4" s="21">
        <v>60</v>
      </c>
      <c r="B4" s="21" t="s">
        <v>33</v>
      </c>
      <c r="C4" s="21" t="s">
        <v>39</v>
      </c>
      <c r="D4" s="22">
        <f>60+17.58</f>
        <v>77.58</v>
      </c>
      <c r="E4" s="23">
        <v>4</v>
      </c>
      <c r="F4" s="24">
        <f>48.95</f>
        <v>48.95</v>
      </c>
      <c r="G4" s="23"/>
      <c r="H4" s="24">
        <f>50.63</f>
        <v>50.63</v>
      </c>
      <c r="I4" s="25"/>
      <c r="J4" s="24">
        <f>46.91</f>
        <v>46.91</v>
      </c>
      <c r="K4" s="23"/>
      <c r="L4" s="24">
        <f>60+12.45</f>
        <v>72.45</v>
      </c>
      <c r="M4" s="23"/>
      <c r="N4" s="24">
        <f>57.33</f>
        <v>57.33</v>
      </c>
      <c r="O4" s="23"/>
      <c r="P4" s="24">
        <f>36.38</f>
        <v>36.380000000000003</v>
      </c>
      <c r="Q4" s="23"/>
      <c r="R4" s="24">
        <f>44.77</f>
        <v>44.77</v>
      </c>
      <c r="S4" s="23"/>
      <c r="T4" s="24">
        <f>60+15.21</f>
        <v>75.210000000000008</v>
      </c>
      <c r="U4" s="26"/>
      <c r="V4" s="38">
        <f>D4+F4+H4+J4+L4+N4+P4+R4+T4</f>
        <v>510.20999999999992</v>
      </c>
      <c r="W4" s="38">
        <f>V4*0.25</f>
        <v>127.55249999999998</v>
      </c>
      <c r="X4" s="21">
        <f>E4+G4+I4+K4+M4+O4+Q4+S4+U4</f>
        <v>4</v>
      </c>
      <c r="Y4" s="41">
        <f>W4+X4</f>
        <v>131.55249999999998</v>
      </c>
      <c r="Z4" s="40">
        <v>1</v>
      </c>
    </row>
    <row r="5" spans="1:26" ht="18" x14ac:dyDescent="0.2">
      <c r="A5" s="27">
        <v>23</v>
      </c>
      <c r="B5" s="27" t="s">
        <v>33</v>
      </c>
      <c r="C5" s="27" t="s">
        <v>41</v>
      </c>
      <c r="D5" s="28">
        <f>60+25.77</f>
        <v>85.77</v>
      </c>
      <c r="E5" s="29"/>
      <c r="F5" s="30">
        <f>60+8.63</f>
        <v>68.63</v>
      </c>
      <c r="G5" s="29"/>
      <c r="H5" s="30">
        <f>60+13.76</f>
        <v>73.760000000000005</v>
      </c>
      <c r="I5" s="31"/>
      <c r="J5" s="30">
        <f>53.93</f>
        <v>53.93</v>
      </c>
      <c r="K5" s="29"/>
      <c r="L5" s="30">
        <f>60+6.44</f>
        <v>66.44</v>
      </c>
      <c r="M5" s="29"/>
      <c r="N5" s="30">
        <f>60+10.84</f>
        <v>70.84</v>
      </c>
      <c r="O5" s="29"/>
      <c r="P5" s="30">
        <f>42.06</f>
        <v>42.06</v>
      </c>
      <c r="Q5" s="29"/>
      <c r="R5" s="30">
        <f>51.22</f>
        <v>51.22</v>
      </c>
      <c r="S5" s="29"/>
      <c r="T5" s="30">
        <f>60+29.82</f>
        <v>89.82</v>
      </c>
      <c r="U5" s="32"/>
      <c r="V5" s="38">
        <f>D5+F5+H5+J5+L5+N5+P5+R5+T5</f>
        <v>602.47</v>
      </c>
      <c r="W5" s="38">
        <f>V5*0.25</f>
        <v>150.61750000000001</v>
      </c>
      <c r="X5" s="21">
        <f>E5+G5+I5+K5+M5+O5+Q5+S5+U5</f>
        <v>0</v>
      </c>
      <c r="Y5" s="41">
        <f>W5+X5</f>
        <v>150.61750000000001</v>
      </c>
      <c r="Z5" s="40">
        <v>2</v>
      </c>
    </row>
    <row r="6" spans="1:26" ht="18" x14ac:dyDescent="0.2">
      <c r="A6" s="27">
        <v>8</v>
      </c>
      <c r="B6" s="27" t="s">
        <v>33</v>
      </c>
      <c r="C6" s="27" t="s">
        <v>34</v>
      </c>
      <c r="D6" s="28">
        <f>60+37.23</f>
        <v>97.22999999999999</v>
      </c>
      <c r="E6" s="29">
        <v>6</v>
      </c>
      <c r="F6" s="30">
        <f>60+34.25</f>
        <v>94.25</v>
      </c>
      <c r="G6" s="29">
        <v>20</v>
      </c>
      <c r="H6" s="30">
        <f>60+25.68</f>
        <v>85.68</v>
      </c>
      <c r="I6" s="31"/>
      <c r="J6" s="30">
        <f>60+21.7</f>
        <v>81.7</v>
      </c>
      <c r="K6" s="29"/>
      <c r="L6" s="30">
        <f>60+60+22.14</f>
        <v>142.13999999999999</v>
      </c>
      <c r="M6" s="29">
        <v>25</v>
      </c>
      <c r="N6" s="30">
        <f>60+32.53</f>
        <v>92.53</v>
      </c>
      <c r="O6" s="29"/>
      <c r="P6" s="30">
        <f>54.25</f>
        <v>54.25</v>
      </c>
      <c r="Q6" s="29"/>
      <c r="R6" s="30">
        <f>60+9.52</f>
        <v>69.52</v>
      </c>
      <c r="S6" s="29"/>
      <c r="T6" s="30">
        <f>60+39.84</f>
        <v>99.84</v>
      </c>
      <c r="U6" s="32">
        <v>2</v>
      </c>
      <c r="V6" s="38">
        <f>D6+F6+H6+J6+L6+N6+P6+R6+T6</f>
        <v>817.14</v>
      </c>
      <c r="W6" s="38">
        <f>V6*0.25</f>
        <v>204.285</v>
      </c>
      <c r="X6" s="21">
        <f>E6+G6+I6+K6+M6+O6+Q6+S6+U6</f>
        <v>53</v>
      </c>
      <c r="Y6" s="41">
        <f>W6+X6</f>
        <v>257.28499999999997</v>
      </c>
      <c r="Z6" s="40">
        <v>3</v>
      </c>
    </row>
    <row r="8" spans="1:26" ht="19" thickBot="1" x14ac:dyDescent="0.25">
      <c r="A8" s="15" t="s">
        <v>20</v>
      </c>
      <c r="B8" s="3"/>
      <c r="C8" s="3"/>
      <c r="D8" s="4"/>
      <c r="E8" s="3"/>
      <c r="F8" s="4"/>
      <c r="G8" s="3"/>
      <c r="H8" s="4"/>
      <c r="I8" s="5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4"/>
      <c r="X8" s="3"/>
      <c r="Y8" s="6"/>
      <c r="Z8" s="5"/>
    </row>
    <row r="9" spans="1:26" ht="19" thickBot="1" x14ac:dyDescent="0.25">
      <c r="A9" s="7" t="s">
        <v>1</v>
      </c>
      <c r="B9" s="8" t="s">
        <v>2</v>
      </c>
      <c r="C9" s="9" t="s">
        <v>3</v>
      </c>
      <c r="D9" s="10" t="s">
        <v>4</v>
      </c>
      <c r="E9" s="12"/>
      <c r="F9" s="17" t="s">
        <v>5</v>
      </c>
      <c r="G9" s="18"/>
      <c r="H9" s="17" t="s">
        <v>6</v>
      </c>
      <c r="I9" s="19"/>
      <c r="J9" s="17" t="s">
        <v>7</v>
      </c>
      <c r="K9" s="12"/>
      <c r="L9" s="17" t="s">
        <v>8</v>
      </c>
      <c r="M9" s="12"/>
      <c r="N9" s="17" t="s">
        <v>9</v>
      </c>
      <c r="O9" s="12"/>
      <c r="P9" s="17" t="s">
        <v>10</v>
      </c>
      <c r="Q9" s="12"/>
      <c r="R9" s="17" t="s">
        <v>11</v>
      </c>
      <c r="S9" s="12"/>
      <c r="T9" s="17" t="s">
        <v>12</v>
      </c>
      <c r="U9" s="20"/>
      <c r="V9" s="10" t="s">
        <v>13</v>
      </c>
      <c r="W9" s="11" t="s">
        <v>14</v>
      </c>
      <c r="X9" s="12" t="s">
        <v>15</v>
      </c>
      <c r="Y9" s="16" t="s">
        <v>16</v>
      </c>
      <c r="Z9" s="14" t="s">
        <v>17</v>
      </c>
    </row>
    <row r="10" spans="1:26" ht="18" x14ac:dyDescent="0.2">
      <c r="A10" s="27">
        <v>50</v>
      </c>
      <c r="B10" s="27" t="s">
        <v>27</v>
      </c>
      <c r="C10" s="27" t="s">
        <v>75</v>
      </c>
      <c r="D10" s="22">
        <f>60+10.83</f>
        <v>70.83</v>
      </c>
      <c r="E10" s="23"/>
      <c r="F10" s="24">
        <f>44.5</f>
        <v>44.5</v>
      </c>
      <c r="G10" s="23"/>
      <c r="H10" s="24">
        <f>42.08</f>
        <v>42.08</v>
      </c>
      <c r="I10" s="25"/>
      <c r="J10" s="24">
        <f>43.31</f>
        <v>43.31</v>
      </c>
      <c r="K10" s="23"/>
      <c r="L10" s="24">
        <f>50.9</f>
        <v>50.9</v>
      </c>
      <c r="M10" s="23"/>
      <c r="N10" s="24">
        <f>54.56</f>
        <v>54.56</v>
      </c>
      <c r="O10" s="23"/>
      <c r="P10" s="24">
        <f>31.66</f>
        <v>31.66</v>
      </c>
      <c r="Q10" s="23"/>
      <c r="R10" s="24">
        <f>42.08</f>
        <v>42.08</v>
      </c>
      <c r="S10" s="23"/>
      <c r="T10" s="24">
        <f>60+6</f>
        <v>66</v>
      </c>
      <c r="U10" s="26"/>
      <c r="V10" s="42">
        <f t="shared" ref="V10:V19" si="0">D10+F10+H10+J10+L10+N10+P10+R10+T10</f>
        <v>445.92</v>
      </c>
      <c r="W10" s="42">
        <f t="shared" ref="W10:W19" si="1">V10*0.25</f>
        <v>111.48</v>
      </c>
      <c r="X10" s="27">
        <f t="shared" ref="X10:X19" si="2">E10+G10+I10+K10+M10+O10+Q10+S10+U10</f>
        <v>0</v>
      </c>
      <c r="Y10" s="43">
        <f t="shared" ref="Y10:Y18" si="3">W10+X10</f>
        <v>111.48</v>
      </c>
      <c r="Z10" s="44">
        <v>1</v>
      </c>
    </row>
    <row r="11" spans="1:26" ht="18" x14ac:dyDescent="0.2">
      <c r="A11" s="27">
        <v>6</v>
      </c>
      <c r="B11" s="27" t="s">
        <v>27</v>
      </c>
      <c r="C11" s="27" t="s">
        <v>31</v>
      </c>
      <c r="D11" s="28">
        <f>60+4.56</f>
        <v>64.56</v>
      </c>
      <c r="E11" s="29"/>
      <c r="F11" s="30">
        <f>44.95</f>
        <v>44.95</v>
      </c>
      <c r="G11" s="29"/>
      <c r="H11" s="30">
        <f>40.28</f>
        <v>40.28</v>
      </c>
      <c r="I11" s="31"/>
      <c r="J11" s="30">
        <f>43.25</f>
        <v>43.25</v>
      </c>
      <c r="K11" s="29"/>
      <c r="L11" s="30">
        <f>53.2</f>
        <v>53.2</v>
      </c>
      <c r="M11" s="29"/>
      <c r="N11" s="30">
        <f>54.45</f>
        <v>54.45</v>
      </c>
      <c r="O11" s="29"/>
      <c r="P11" s="30">
        <f>39.1</f>
        <v>39.1</v>
      </c>
      <c r="Q11" s="29"/>
      <c r="R11" s="30">
        <f>43.69</f>
        <v>43.69</v>
      </c>
      <c r="S11" s="29"/>
      <c r="T11" s="30">
        <f>60+13.88</f>
        <v>73.88</v>
      </c>
      <c r="U11" s="32"/>
      <c r="V11" s="42">
        <f t="shared" si="0"/>
        <v>457.36</v>
      </c>
      <c r="W11" s="42">
        <f t="shared" si="1"/>
        <v>114.34</v>
      </c>
      <c r="X11" s="27">
        <f t="shared" si="2"/>
        <v>0</v>
      </c>
      <c r="Y11" s="43">
        <f t="shared" si="3"/>
        <v>114.34</v>
      </c>
      <c r="Z11" s="44">
        <v>2</v>
      </c>
    </row>
    <row r="12" spans="1:26" ht="18" x14ac:dyDescent="0.2">
      <c r="A12" s="27">
        <v>7</v>
      </c>
      <c r="B12" s="27" t="s">
        <v>27</v>
      </c>
      <c r="C12" s="27" t="s">
        <v>32</v>
      </c>
      <c r="D12" s="28">
        <f>60+17.2</f>
        <v>77.2</v>
      </c>
      <c r="E12" s="29"/>
      <c r="F12" s="30">
        <f>48.17</f>
        <v>48.17</v>
      </c>
      <c r="G12" s="29"/>
      <c r="H12" s="30">
        <f>46.33</f>
        <v>46.33</v>
      </c>
      <c r="I12" s="31"/>
      <c r="J12" s="30">
        <f>45</f>
        <v>45</v>
      </c>
      <c r="K12" s="29"/>
      <c r="L12" s="30">
        <f>58.46</f>
        <v>58.46</v>
      </c>
      <c r="M12" s="29"/>
      <c r="N12" s="30">
        <f>58.01</f>
        <v>58.01</v>
      </c>
      <c r="O12" s="29"/>
      <c r="P12" s="30">
        <f>33.42</f>
        <v>33.42</v>
      </c>
      <c r="Q12" s="29"/>
      <c r="R12" s="30">
        <f>47.35</f>
        <v>47.35</v>
      </c>
      <c r="S12" s="29"/>
      <c r="T12" s="30">
        <f>60+19.08</f>
        <v>79.08</v>
      </c>
      <c r="U12" s="32"/>
      <c r="V12" s="42">
        <f t="shared" si="0"/>
        <v>493.02</v>
      </c>
      <c r="W12" s="42">
        <f t="shared" si="1"/>
        <v>123.255</v>
      </c>
      <c r="X12" s="27">
        <f t="shared" si="2"/>
        <v>0</v>
      </c>
      <c r="Y12" s="43">
        <f t="shared" si="3"/>
        <v>123.255</v>
      </c>
      <c r="Z12" s="44">
        <v>3</v>
      </c>
    </row>
    <row r="13" spans="1:26" ht="18" x14ac:dyDescent="0.2">
      <c r="A13" s="27">
        <v>13</v>
      </c>
      <c r="B13" s="27" t="s">
        <v>27</v>
      </c>
      <c r="C13" s="27" t="s">
        <v>40</v>
      </c>
      <c r="D13" s="28">
        <f>60+18</f>
        <v>78</v>
      </c>
      <c r="E13" s="29"/>
      <c r="F13" s="30">
        <f>51.46</f>
        <v>51.46</v>
      </c>
      <c r="G13" s="29"/>
      <c r="H13" s="30">
        <f>46.4</f>
        <v>46.4</v>
      </c>
      <c r="I13" s="31"/>
      <c r="J13" s="30">
        <f>48.46</f>
        <v>48.46</v>
      </c>
      <c r="K13" s="29"/>
      <c r="L13" s="30">
        <f>60+1.9</f>
        <v>61.9</v>
      </c>
      <c r="M13" s="29"/>
      <c r="N13" s="30">
        <f>60+3</f>
        <v>63</v>
      </c>
      <c r="O13" s="29"/>
      <c r="P13" s="30">
        <f>40.18</f>
        <v>40.18</v>
      </c>
      <c r="Q13" s="29"/>
      <c r="R13" s="30">
        <f>48.43</f>
        <v>48.43</v>
      </c>
      <c r="S13" s="29"/>
      <c r="T13" s="30">
        <f>60+17.51</f>
        <v>77.510000000000005</v>
      </c>
      <c r="U13" s="32"/>
      <c r="V13" s="42">
        <f t="shared" si="0"/>
        <v>515.34</v>
      </c>
      <c r="W13" s="42">
        <f t="shared" si="1"/>
        <v>128.83500000000001</v>
      </c>
      <c r="X13" s="27">
        <f t="shared" si="2"/>
        <v>0</v>
      </c>
      <c r="Y13" s="43">
        <f t="shared" si="3"/>
        <v>128.83500000000001</v>
      </c>
      <c r="Z13" s="44">
        <v>4</v>
      </c>
    </row>
    <row r="14" spans="1:26" ht="18" x14ac:dyDescent="0.2">
      <c r="A14" s="27">
        <v>66</v>
      </c>
      <c r="B14" s="27" t="s">
        <v>27</v>
      </c>
      <c r="C14" s="27" t="s">
        <v>91</v>
      </c>
      <c r="D14" s="28">
        <f>60+13.44</f>
        <v>73.44</v>
      </c>
      <c r="E14" s="29">
        <v>2</v>
      </c>
      <c r="F14" s="30">
        <f>52.83</f>
        <v>52.83</v>
      </c>
      <c r="G14" s="29"/>
      <c r="H14" s="30">
        <f>49.96</f>
        <v>49.96</v>
      </c>
      <c r="I14" s="31"/>
      <c r="J14" s="30">
        <f>49.63</f>
        <v>49.63</v>
      </c>
      <c r="K14" s="29"/>
      <c r="L14" s="30">
        <f>55.75</f>
        <v>55.75</v>
      </c>
      <c r="M14" s="29"/>
      <c r="N14" s="30">
        <f>60+3.32</f>
        <v>63.32</v>
      </c>
      <c r="O14" s="29"/>
      <c r="P14" s="30">
        <f>40.33</f>
        <v>40.33</v>
      </c>
      <c r="Q14" s="29"/>
      <c r="R14" s="30">
        <f>51.02</f>
        <v>51.02</v>
      </c>
      <c r="S14" s="29"/>
      <c r="T14" s="30">
        <f>60+40.53</f>
        <v>100.53</v>
      </c>
      <c r="U14" s="32"/>
      <c r="V14" s="42">
        <f t="shared" si="0"/>
        <v>536.80999999999995</v>
      </c>
      <c r="W14" s="42">
        <f t="shared" si="1"/>
        <v>134.20249999999999</v>
      </c>
      <c r="X14" s="27">
        <f t="shared" si="2"/>
        <v>2</v>
      </c>
      <c r="Y14" s="43">
        <f t="shared" si="3"/>
        <v>136.20249999999999</v>
      </c>
      <c r="Z14" s="44">
        <v>5</v>
      </c>
    </row>
    <row r="15" spans="1:26" ht="18" x14ac:dyDescent="0.2">
      <c r="A15" s="27">
        <v>11</v>
      </c>
      <c r="B15" s="27" t="s">
        <v>27</v>
      </c>
      <c r="C15" s="27" t="s">
        <v>37</v>
      </c>
      <c r="D15" s="28">
        <f>60+32.92</f>
        <v>92.92</v>
      </c>
      <c r="E15" s="29"/>
      <c r="F15" s="30">
        <f>52.7</f>
        <v>52.7</v>
      </c>
      <c r="G15" s="29"/>
      <c r="H15" s="30">
        <f>48.83</f>
        <v>48.83</v>
      </c>
      <c r="I15" s="31"/>
      <c r="J15" s="30">
        <f>53.47</f>
        <v>53.47</v>
      </c>
      <c r="K15" s="29"/>
      <c r="L15" s="30">
        <f>60+3</f>
        <v>63</v>
      </c>
      <c r="M15" s="29"/>
      <c r="N15" s="30">
        <f>60+8.69</f>
        <v>68.69</v>
      </c>
      <c r="O15" s="29"/>
      <c r="P15" s="30">
        <f>40.78</f>
        <v>40.78</v>
      </c>
      <c r="Q15" s="29"/>
      <c r="R15" s="30">
        <f>50.69</f>
        <v>50.69</v>
      </c>
      <c r="S15" s="29"/>
      <c r="T15" s="30">
        <f>60+23.14</f>
        <v>83.14</v>
      </c>
      <c r="U15" s="32"/>
      <c r="V15" s="42">
        <f t="shared" si="0"/>
        <v>554.22</v>
      </c>
      <c r="W15" s="42">
        <f t="shared" si="1"/>
        <v>138.55500000000001</v>
      </c>
      <c r="X15" s="27">
        <f t="shared" si="2"/>
        <v>0</v>
      </c>
      <c r="Y15" s="43">
        <f t="shared" si="3"/>
        <v>138.55500000000001</v>
      </c>
      <c r="Z15" s="44">
        <v>6</v>
      </c>
    </row>
    <row r="16" spans="1:26" ht="18" x14ac:dyDescent="0.2">
      <c r="A16" s="27">
        <v>56</v>
      </c>
      <c r="B16" s="27" t="s">
        <v>27</v>
      </c>
      <c r="C16" s="27" t="s">
        <v>81</v>
      </c>
      <c r="D16" s="28">
        <f>60+12.64</f>
        <v>72.64</v>
      </c>
      <c r="E16" s="29"/>
      <c r="F16" s="30">
        <f>52.69</f>
        <v>52.69</v>
      </c>
      <c r="G16" s="29"/>
      <c r="H16" s="30">
        <f>54</f>
        <v>54</v>
      </c>
      <c r="I16" s="31"/>
      <c r="J16" s="30">
        <f>53</f>
        <v>53</v>
      </c>
      <c r="K16" s="29"/>
      <c r="L16" s="30">
        <f>60+6.07</f>
        <v>66.069999999999993</v>
      </c>
      <c r="M16" s="29"/>
      <c r="N16" s="30">
        <f>60+16.09</f>
        <v>76.09</v>
      </c>
      <c r="O16" s="29"/>
      <c r="P16" s="30">
        <f>43.51</f>
        <v>43.51</v>
      </c>
      <c r="Q16" s="29"/>
      <c r="R16" s="30">
        <f>51.06</f>
        <v>51.06</v>
      </c>
      <c r="S16" s="29"/>
      <c r="T16" s="30">
        <f>60+40.88</f>
        <v>100.88</v>
      </c>
      <c r="U16" s="32"/>
      <c r="V16" s="42">
        <f t="shared" si="0"/>
        <v>569.94000000000005</v>
      </c>
      <c r="W16" s="42">
        <f t="shared" si="1"/>
        <v>142.48500000000001</v>
      </c>
      <c r="X16" s="27">
        <f t="shared" si="2"/>
        <v>0</v>
      </c>
      <c r="Y16" s="43">
        <f t="shared" si="3"/>
        <v>142.48500000000001</v>
      </c>
      <c r="Z16" s="44">
        <v>7</v>
      </c>
    </row>
    <row r="17" spans="1:26" ht="18" x14ac:dyDescent="0.2">
      <c r="A17" s="27">
        <v>49</v>
      </c>
      <c r="B17" s="27" t="s">
        <v>27</v>
      </c>
      <c r="C17" s="27" t="s">
        <v>74</v>
      </c>
      <c r="D17" s="28">
        <f>60+14.78</f>
        <v>74.78</v>
      </c>
      <c r="E17" s="29"/>
      <c r="F17" s="30">
        <f>53.39</f>
        <v>53.39</v>
      </c>
      <c r="G17" s="29"/>
      <c r="H17" s="30">
        <f>46.94</f>
        <v>46.94</v>
      </c>
      <c r="I17" s="31"/>
      <c r="J17" s="30">
        <f>49.5</f>
        <v>49.5</v>
      </c>
      <c r="K17" s="29"/>
      <c r="L17" s="30">
        <f>59.87</f>
        <v>59.87</v>
      </c>
      <c r="M17" s="29"/>
      <c r="N17" s="30">
        <f>60+1.63</f>
        <v>61.63</v>
      </c>
      <c r="O17" s="29"/>
      <c r="P17" s="30">
        <f>35.26</f>
        <v>35.26</v>
      </c>
      <c r="Q17" s="29"/>
      <c r="R17" s="30">
        <f>46.51</f>
        <v>46.51</v>
      </c>
      <c r="S17" s="29"/>
      <c r="T17" s="30">
        <f>60+60+4.34</f>
        <v>124.34</v>
      </c>
      <c r="U17" s="32">
        <v>5</v>
      </c>
      <c r="V17" s="42">
        <f t="shared" si="0"/>
        <v>552.22</v>
      </c>
      <c r="W17" s="42">
        <f t="shared" si="1"/>
        <v>138.05500000000001</v>
      </c>
      <c r="X17" s="27">
        <f t="shared" si="2"/>
        <v>5</v>
      </c>
      <c r="Y17" s="43">
        <f t="shared" si="3"/>
        <v>143.05500000000001</v>
      </c>
      <c r="Z17" s="44">
        <v>8</v>
      </c>
    </row>
    <row r="18" spans="1:26" ht="18" x14ac:dyDescent="0.2">
      <c r="A18" s="27">
        <v>19</v>
      </c>
      <c r="B18" s="27" t="s">
        <v>27</v>
      </c>
      <c r="C18" s="27" t="s">
        <v>45</v>
      </c>
      <c r="D18" s="28">
        <f>60+35.21</f>
        <v>95.210000000000008</v>
      </c>
      <c r="E18" s="29"/>
      <c r="F18" s="30">
        <f>60+4.21</f>
        <v>64.209999999999994</v>
      </c>
      <c r="G18" s="29"/>
      <c r="H18" s="30">
        <f>58.35</f>
        <v>58.35</v>
      </c>
      <c r="I18" s="31"/>
      <c r="J18" s="30">
        <f>60+0.84</f>
        <v>60.84</v>
      </c>
      <c r="K18" s="29"/>
      <c r="L18" s="30">
        <f>60+10.44</f>
        <v>70.44</v>
      </c>
      <c r="M18" s="29"/>
      <c r="N18" s="30">
        <f>60+27.2</f>
        <v>87.2</v>
      </c>
      <c r="O18" s="29"/>
      <c r="P18" s="30">
        <f>49.51</f>
        <v>49.51</v>
      </c>
      <c r="Q18" s="29"/>
      <c r="R18" s="30">
        <f>55.01</f>
        <v>55.01</v>
      </c>
      <c r="S18" s="29"/>
      <c r="T18" s="30">
        <f>60+20.03</f>
        <v>80.03</v>
      </c>
      <c r="U18" s="32"/>
      <c r="V18" s="42">
        <f t="shared" si="0"/>
        <v>620.79999999999995</v>
      </c>
      <c r="W18" s="42">
        <f t="shared" si="1"/>
        <v>155.19999999999999</v>
      </c>
      <c r="X18" s="27">
        <f t="shared" si="2"/>
        <v>0</v>
      </c>
      <c r="Y18" s="43">
        <f t="shared" si="3"/>
        <v>155.19999999999999</v>
      </c>
      <c r="Z18" s="44">
        <v>9</v>
      </c>
    </row>
    <row r="19" spans="1:26" ht="18" x14ac:dyDescent="0.2">
      <c r="A19" s="27">
        <v>5</v>
      </c>
      <c r="B19" s="27" t="s">
        <v>27</v>
      </c>
      <c r="C19" s="27" t="s">
        <v>28</v>
      </c>
      <c r="D19" s="28">
        <f>60+12.36</f>
        <v>72.36</v>
      </c>
      <c r="E19" s="29"/>
      <c r="F19" s="30">
        <f>45.07</f>
        <v>45.07</v>
      </c>
      <c r="G19" s="29">
        <v>9999</v>
      </c>
      <c r="H19" s="30">
        <f>44.26</f>
        <v>44.26</v>
      </c>
      <c r="I19" s="31"/>
      <c r="J19" s="30">
        <f>46.82</f>
        <v>46.82</v>
      </c>
      <c r="K19" s="29"/>
      <c r="L19" s="30">
        <f>55.28</f>
        <v>55.28</v>
      </c>
      <c r="M19" s="29"/>
      <c r="N19" s="30">
        <f>56.89</f>
        <v>56.89</v>
      </c>
      <c r="O19" s="29"/>
      <c r="P19" s="30">
        <f>34.95</f>
        <v>34.950000000000003</v>
      </c>
      <c r="Q19" s="29"/>
      <c r="R19" s="30">
        <f>42.91</f>
        <v>42.91</v>
      </c>
      <c r="S19" s="29"/>
      <c r="T19" s="30">
        <f>60+10.89</f>
        <v>70.89</v>
      </c>
      <c r="U19" s="32">
        <v>9999</v>
      </c>
      <c r="V19" s="42">
        <f t="shared" si="0"/>
        <v>469.42999999999995</v>
      </c>
      <c r="W19" s="42">
        <f t="shared" si="1"/>
        <v>117.35749999999999</v>
      </c>
      <c r="X19" s="27">
        <f t="shared" si="2"/>
        <v>19998</v>
      </c>
      <c r="Y19" s="43">
        <v>9999</v>
      </c>
      <c r="Z19" s="44">
        <v>10</v>
      </c>
    </row>
    <row r="21" spans="1:26" ht="19" thickBot="1" x14ac:dyDescent="0.25">
      <c r="A21" s="15" t="s">
        <v>18</v>
      </c>
      <c r="B21" s="3"/>
      <c r="C21" s="3"/>
      <c r="D21" s="4"/>
      <c r="E21" s="3"/>
      <c r="F21" s="4"/>
      <c r="G21" s="3"/>
      <c r="H21" s="4"/>
      <c r="I21" s="5"/>
      <c r="J21" s="4"/>
      <c r="K21" s="3"/>
      <c r="L21" s="4"/>
      <c r="M21" s="3"/>
      <c r="N21" s="4"/>
      <c r="O21" s="3"/>
      <c r="P21" s="4"/>
      <c r="Q21" s="3"/>
      <c r="R21" s="4"/>
      <c r="S21" s="3"/>
      <c r="T21" s="4"/>
      <c r="U21" s="3"/>
      <c r="V21" s="4"/>
      <c r="W21" s="4"/>
      <c r="X21" s="3"/>
      <c r="Y21" s="6"/>
      <c r="Z21" s="5"/>
    </row>
    <row r="22" spans="1:26" ht="19" thickBot="1" x14ac:dyDescent="0.25">
      <c r="A22" s="7" t="s">
        <v>1</v>
      </c>
      <c r="B22" s="8" t="s">
        <v>2</v>
      </c>
      <c r="C22" s="9" t="s">
        <v>3</v>
      </c>
      <c r="D22" s="10" t="s">
        <v>4</v>
      </c>
      <c r="E22" s="12"/>
      <c r="F22" s="17" t="s">
        <v>5</v>
      </c>
      <c r="G22" s="18"/>
      <c r="H22" s="17" t="s">
        <v>6</v>
      </c>
      <c r="I22" s="19"/>
      <c r="J22" s="17" t="s">
        <v>7</v>
      </c>
      <c r="K22" s="12"/>
      <c r="L22" s="17" t="s">
        <v>8</v>
      </c>
      <c r="M22" s="12"/>
      <c r="N22" s="17" t="s">
        <v>9</v>
      </c>
      <c r="O22" s="12"/>
      <c r="P22" s="17" t="s">
        <v>10</v>
      </c>
      <c r="Q22" s="12"/>
      <c r="R22" s="17" t="s">
        <v>11</v>
      </c>
      <c r="S22" s="12"/>
      <c r="T22" s="17" t="s">
        <v>12</v>
      </c>
      <c r="U22" s="20"/>
      <c r="V22" s="10" t="s">
        <v>13</v>
      </c>
      <c r="W22" s="11" t="s">
        <v>14</v>
      </c>
      <c r="X22" s="12" t="s">
        <v>15</v>
      </c>
      <c r="Y22" s="16" t="s">
        <v>16</v>
      </c>
      <c r="Z22" s="14" t="s">
        <v>17</v>
      </c>
    </row>
    <row r="23" spans="1:26" ht="18" x14ac:dyDescent="0.2">
      <c r="A23" s="21">
        <v>52</v>
      </c>
      <c r="B23" s="21" t="s">
        <v>46</v>
      </c>
      <c r="C23" s="21" t="s">
        <v>77</v>
      </c>
      <c r="D23" s="22">
        <f>60+2.88</f>
        <v>62.88</v>
      </c>
      <c r="E23" s="23"/>
      <c r="F23" s="24">
        <f>44.13</f>
        <v>44.13</v>
      </c>
      <c r="G23" s="23"/>
      <c r="H23" s="24">
        <f>41.13</f>
        <v>41.13</v>
      </c>
      <c r="I23" s="25"/>
      <c r="J23" s="24">
        <f>40.82</f>
        <v>40.82</v>
      </c>
      <c r="K23" s="23"/>
      <c r="L23" s="24">
        <f>60+5.28</f>
        <v>65.28</v>
      </c>
      <c r="M23" s="23"/>
      <c r="N23" s="24">
        <f>59.88</f>
        <v>59.88</v>
      </c>
      <c r="O23" s="23"/>
      <c r="P23" s="24">
        <f>40.77</f>
        <v>40.770000000000003</v>
      </c>
      <c r="Q23" s="23"/>
      <c r="R23" s="24">
        <f>42.06</f>
        <v>42.06</v>
      </c>
      <c r="S23" s="23">
        <v>2</v>
      </c>
      <c r="T23" s="24">
        <f>60+3.33</f>
        <v>63.33</v>
      </c>
      <c r="U23" s="26"/>
      <c r="V23" s="38">
        <f t="shared" ref="V23:V35" si="4">D23+F23+H23+J23+L23+N23+P23+R23+T23</f>
        <v>460.28</v>
      </c>
      <c r="W23" s="38">
        <f t="shared" ref="W23:W35" si="5">V23*0.25</f>
        <v>115.07</v>
      </c>
      <c r="X23" s="21">
        <f t="shared" ref="X23:X35" si="6">E23+G23+I23+K23+M23+O23+Q23+S23+U23</f>
        <v>2</v>
      </c>
      <c r="Y23" s="41">
        <f t="shared" ref="Y23:Y34" si="7">W23+X23</f>
        <v>117.07</v>
      </c>
      <c r="Z23" s="40">
        <v>1</v>
      </c>
    </row>
    <row r="24" spans="1:26" ht="18" x14ac:dyDescent="0.2">
      <c r="A24" s="21">
        <v>63</v>
      </c>
      <c r="B24" s="21" t="s">
        <v>46</v>
      </c>
      <c r="C24" s="21" t="s">
        <v>88</v>
      </c>
      <c r="D24" s="22">
        <f>60+9.23</f>
        <v>69.23</v>
      </c>
      <c r="E24" s="23"/>
      <c r="F24" s="24">
        <f>49.41</f>
        <v>49.41</v>
      </c>
      <c r="G24" s="23"/>
      <c r="H24" s="24">
        <f>42.31</f>
        <v>42.31</v>
      </c>
      <c r="I24" s="25"/>
      <c r="J24" s="24">
        <f>45.62</f>
        <v>45.62</v>
      </c>
      <c r="K24" s="23"/>
      <c r="L24" s="24">
        <v>58.97</v>
      </c>
      <c r="M24" s="23"/>
      <c r="N24" s="24">
        <f>60+3.82</f>
        <v>63.82</v>
      </c>
      <c r="O24" s="23"/>
      <c r="P24" s="24">
        <f>38.63</f>
        <v>38.630000000000003</v>
      </c>
      <c r="Q24" s="23"/>
      <c r="R24" s="24">
        <f>47.75</f>
        <v>47.75</v>
      </c>
      <c r="S24" s="23"/>
      <c r="T24" s="24">
        <f>60+11.01</f>
        <v>71.010000000000005</v>
      </c>
      <c r="U24" s="26"/>
      <c r="V24" s="38">
        <f t="shared" si="4"/>
        <v>486.74999999999994</v>
      </c>
      <c r="W24" s="38">
        <f t="shared" si="5"/>
        <v>121.68749999999999</v>
      </c>
      <c r="X24" s="21">
        <f t="shared" si="6"/>
        <v>0</v>
      </c>
      <c r="Y24" s="41">
        <f t="shared" si="7"/>
        <v>121.68749999999999</v>
      </c>
      <c r="Z24" s="40">
        <v>2</v>
      </c>
    </row>
    <row r="25" spans="1:26" ht="18" x14ac:dyDescent="0.2">
      <c r="A25" s="21">
        <v>25</v>
      </c>
      <c r="B25" s="21" t="s">
        <v>46</v>
      </c>
      <c r="C25" s="21" t="s">
        <v>55</v>
      </c>
      <c r="D25" s="22">
        <f>60+20.28</f>
        <v>80.28</v>
      </c>
      <c r="E25" s="23"/>
      <c r="F25" s="24">
        <f>51.31</f>
        <v>51.31</v>
      </c>
      <c r="G25" s="23"/>
      <c r="H25" s="24">
        <f>43.27</f>
        <v>43.27</v>
      </c>
      <c r="I25" s="25"/>
      <c r="J25" s="24">
        <f>45.07</f>
        <v>45.07</v>
      </c>
      <c r="K25" s="23"/>
      <c r="L25" s="24">
        <f>60+0.76</f>
        <v>60.76</v>
      </c>
      <c r="M25" s="23"/>
      <c r="N25" s="24">
        <f>60+2.26</f>
        <v>62.26</v>
      </c>
      <c r="O25" s="23"/>
      <c r="P25" s="24">
        <f>40.93</f>
        <v>40.93</v>
      </c>
      <c r="Q25" s="23"/>
      <c r="R25" s="24">
        <f>46.85</f>
        <v>46.85</v>
      </c>
      <c r="S25" s="23"/>
      <c r="T25" s="24">
        <f>60+22.12</f>
        <v>82.12</v>
      </c>
      <c r="U25" s="26"/>
      <c r="V25" s="38">
        <f t="shared" si="4"/>
        <v>512.85</v>
      </c>
      <c r="W25" s="38">
        <f t="shared" si="5"/>
        <v>128.21250000000001</v>
      </c>
      <c r="X25" s="21">
        <f t="shared" si="6"/>
        <v>0</v>
      </c>
      <c r="Y25" s="41">
        <f t="shared" si="7"/>
        <v>128.21250000000001</v>
      </c>
      <c r="Z25" s="40">
        <v>3</v>
      </c>
    </row>
    <row r="26" spans="1:26" ht="18" x14ac:dyDescent="0.2">
      <c r="A26" s="21">
        <v>20</v>
      </c>
      <c r="B26" s="21" t="s">
        <v>46</v>
      </c>
      <c r="C26" s="21" t="s">
        <v>48</v>
      </c>
      <c r="D26" s="22">
        <f>60+23.26</f>
        <v>83.26</v>
      </c>
      <c r="E26" s="23"/>
      <c r="F26" s="24">
        <f>51.94</f>
        <v>51.94</v>
      </c>
      <c r="G26" s="23"/>
      <c r="H26" s="24">
        <f>49.69</f>
        <v>49.69</v>
      </c>
      <c r="I26" s="25"/>
      <c r="J26" s="24">
        <f>49</f>
        <v>49</v>
      </c>
      <c r="K26" s="23"/>
      <c r="L26" s="24">
        <f>52.88</f>
        <v>52.88</v>
      </c>
      <c r="M26" s="23"/>
      <c r="N26" s="24">
        <f>58.71</f>
        <v>58.71</v>
      </c>
      <c r="O26" s="23"/>
      <c r="P26" s="24">
        <f>44.41</f>
        <v>44.41</v>
      </c>
      <c r="Q26" s="23"/>
      <c r="R26" s="24">
        <f>49.45</f>
        <v>49.45</v>
      </c>
      <c r="S26" s="23">
        <v>2</v>
      </c>
      <c r="T26" s="24">
        <f>60+9.4</f>
        <v>69.400000000000006</v>
      </c>
      <c r="U26" s="26"/>
      <c r="V26" s="38">
        <f t="shared" si="4"/>
        <v>508.74</v>
      </c>
      <c r="W26" s="38">
        <f t="shared" si="5"/>
        <v>127.185</v>
      </c>
      <c r="X26" s="21">
        <f t="shared" si="6"/>
        <v>2</v>
      </c>
      <c r="Y26" s="41">
        <f t="shared" si="7"/>
        <v>129.185</v>
      </c>
      <c r="Z26" s="40">
        <v>4</v>
      </c>
    </row>
    <row r="27" spans="1:26" ht="18" x14ac:dyDescent="0.2">
      <c r="A27" s="21">
        <v>46</v>
      </c>
      <c r="B27" s="21" t="s">
        <v>46</v>
      </c>
      <c r="C27" s="21" t="s">
        <v>71</v>
      </c>
      <c r="D27" s="22">
        <f>60+17.97</f>
        <v>77.97</v>
      </c>
      <c r="E27" s="23"/>
      <c r="F27" s="24">
        <f>51.03</f>
        <v>51.03</v>
      </c>
      <c r="G27" s="23"/>
      <c r="H27" s="24">
        <f>53.01</f>
        <v>53.01</v>
      </c>
      <c r="I27" s="25"/>
      <c r="J27" s="24">
        <f>48.66</f>
        <v>48.66</v>
      </c>
      <c r="K27" s="23"/>
      <c r="L27" s="24">
        <f>60+3</f>
        <v>63</v>
      </c>
      <c r="M27" s="23"/>
      <c r="N27" s="24">
        <f>58.77</f>
        <v>58.77</v>
      </c>
      <c r="O27" s="23"/>
      <c r="P27" s="24">
        <f>42.53</f>
        <v>42.53</v>
      </c>
      <c r="Q27" s="23"/>
      <c r="R27" s="24">
        <f>47.47</f>
        <v>47.47</v>
      </c>
      <c r="S27" s="23"/>
      <c r="T27" s="24">
        <f>60+16.08</f>
        <v>76.08</v>
      </c>
      <c r="U27" s="26"/>
      <c r="V27" s="38">
        <f t="shared" si="4"/>
        <v>518.52</v>
      </c>
      <c r="W27" s="38">
        <f t="shared" si="5"/>
        <v>129.63</v>
      </c>
      <c r="X27" s="21">
        <f t="shared" si="6"/>
        <v>0</v>
      </c>
      <c r="Y27" s="41">
        <f t="shared" si="7"/>
        <v>129.63</v>
      </c>
      <c r="Z27" s="40">
        <v>5</v>
      </c>
    </row>
    <row r="28" spans="1:26" ht="18" x14ac:dyDescent="0.2">
      <c r="A28" s="21">
        <v>21</v>
      </c>
      <c r="B28" s="21" t="s">
        <v>46</v>
      </c>
      <c r="C28" s="21" t="s">
        <v>49</v>
      </c>
      <c r="D28" s="22">
        <f>60+15.94</f>
        <v>75.94</v>
      </c>
      <c r="E28" s="23"/>
      <c r="F28" s="24">
        <f>54.77</f>
        <v>54.77</v>
      </c>
      <c r="G28" s="23"/>
      <c r="H28" s="24">
        <v>58.2</v>
      </c>
      <c r="I28" s="25"/>
      <c r="J28" s="24">
        <f>51.94</f>
        <v>51.94</v>
      </c>
      <c r="K28" s="23"/>
      <c r="L28" s="24">
        <f>60+4.32</f>
        <v>64.319999999999993</v>
      </c>
      <c r="M28" s="23"/>
      <c r="N28" s="24">
        <f>60+7.27</f>
        <v>67.27</v>
      </c>
      <c r="O28" s="23"/>
      <c r="P28" s="24">
        <f>42.7</f>
        <v>42.7</v>
      </c>
      <c r="Q28" s="23"/>
      <c r="R28" s="24">
        <v>57.58</v>
      </c>
      <c r="S28" s="23"/>
      <c r="T28" s="24">
        <f>60+26.4</f>
        <v>86.4</v>
      </c>
      <c r="U28" s="26"/>
      <c r="V28" s="38">
        <f t="shared" si="4"/>
        <v>559.12</v>
      </c>
      <c r="W28" s="38">
        <f t="shared" si="5"/>
        <v>139.78</v>
      </c>
      <c r="X28" s="21">
        <f t="shared" si="6"/>
        <v>0</v>
      </c>
      <c r="Y28" s="41">
        <f t="shared" si="7"/>
        <v>139.78</v>
      </c>
      <c r="Z28" s="40">
        <v>6</v>
      </c>
    </row>
    <row r="29" spans="1:26" ht="18" x14ac:dyDescent="0.2">
      <c r="A29" s="27">
        <v>43</v>
      </c>
      <c r="B29" s="27" t="s">
        <v>46</v>
      </c>
      <c r="C29" s="27" t="s">
        <v>69</v>
      </c>
      <c r="D29" s="28">
        <f>60+17.94</f>
        <v>77.94</v>
      </c>
      <c r="E29" s="29"/>
      <c r="F29" s="30">
        <f>50.87</f>
        <v>50.87</v>
      </c>
      <c r="G29" s="29">
        <v>20</v>
      </c>
      <c r="H29" s="30">
        <f>46.84</f>
        <v>46.84</v>
      </c>
      <c r="I29" s="31"/>
      <c r="J29" s="30">
        <f>42.83</f>
        <v>42.83</v>
      </c>
      <c r="K29" s="29"/>
      <c r="L29" s="30">
        <f>54.09</f>
        <v>54.09</v>
      </c>
      <c r="M29" s="29"/>
      <c r="N29" s="30">
        <f>55.81</f>
        <v>55.81</v>
      </c>
      <c r="O29" s="29"/>
      <c r="P29" s="30">
        <f>42.45</f>
        <v>42.45</v>
      </c>
      <c r="Q29" s="29"/>
      <c r="R29" s="30">
        <f>43.59</f>
        <v>43.59</v>
      </c>
      <c r="S29" s="29"/>
      <c r="T29" s="30">
        <f>60+8.96</f>
        <v>68.960000000000008</v>
      </c>
      <c r="U29" s="32"/>
      <c r="V29" s="42">
        <f t="shared" si="4"/>
        <v>483.38000000000011</v>
      </c>
      <c r="W29" s="42">
        <f t="shared" si="5"/>
        <v>120.84500000000003</v>
      </c>
      <c r="X29" s="27">
        <f t="shared" si="6"/>
        <v>20</v>
      </c>
      <c r="Y29" s="43">
        <f t="shared" si="7"/>
        <v>140.84500000000003</v>
      </c>
      <c r="Z29" s="44">
        <v>7</v>
      </c>
    </row>
    <row r="30" spans="1:26" ht="18" x14ac:dyDescent="0.2">
      <c r="A30" s="21">
        <v>58</v>
      </c>
      <c r="B30" s="21" t="s">
        <v>46</v>
      </c>
      <c r="C30" s="21" t="s">
        <v>83</v>
      </c>
      <c r="D30" s="22">
        <f>60+24.07</f>
        <v>84.07</v>
      </c>
      <c r="E30" s="23"/>
      <c r="F30" s="24">
        <f>57.96</f>
        <v>57.96</v>
      </c>
      <c r="G30" s="23"/>
      <c r="H30" s="24">
        <f>55.13</f>
        <v>55.13</v>
      </c>
      <c r="I30" s="25"/>
      <c r="J30" s="24">
        <f>53.34</f>
        <v>53.34</v>
      </c>
      <c r="K30" s="23"/>
      <c r="L30" s="24">
        <f>60+8.53</f>
        <v>68.53</v>
      </c>
      <c r="M30" s="23"/>
      <c r="N30" s="24">
        <f>60+8.07</f>
        <v>68.069999999999993</v>
      </c>
      <c r="O30" s="23"/>
      <c r="P30" s="24">
        <f>46.68</f>
        <v>46.68</v>
      </c>
      <c r="Q30" s="23"/>
      <c r="R30" s="24">
        <f>50.57</f>
        <v>50.57</v>
      </c>
      <c r="S30" s="23"/>
      <c r="T30" s="24">
        <f>60+27.58</f>
        <v>87.58</v>
      </c>
      <c r="U30" s="26"/>
      <c r="V30" s="38">
        <f t="shared" si="4"/>
        <v>571.92999999999995</v>
      </c>
      <c r="W30" s="38">
        <f t="shared" si="5"/>
        <v>142.98249999999999</v>
      </c>
      <c r="X30" s="21">
        <f t="shared" si="6"/>
        <v>0</v>
      </c>
      <c r="Y30" s="41">
        <f t="shared" si="7"/>
        <v>142.98249999999999</v>
      </c>
      <c r="Z30" s="40">
        <v>8</v>
      </c>
    </row>
    <row r="31" spans="1:26" ht="18" x14ac:dyDescent="0.2">
      <c r="A31" s="21">
        <v>15</v>
      </c>
      <c r="B31" s="21" t="s">
        <v>46</v>
      </c>
      <c r="C31" s="21" t="s">
        <v>47</v>
      </c>
      <c r="D31" s="22">
        <f>60+27.09</f>
        <v>87.09</v>
      </c>
      <c r="E31" s="23">
        <v>4</v>
      </c>
      <c r="F31" s="24">
        <f>55.16</f>
        <v>55.16</v>
      </c>
      <c r="G31" s="23"/>
      <c r="H31" s="24">
        <f>51.12</f>
        <v>51.12</v>
      </c>
      <c r="I31" s="25"/>
      <c r="J31" s="24">
        <f>50.32</f>
        <v>50.32</v>
      </c>
      <c r="K31" s="23"/>
      <c r="L31" s="24">
        <f>60+6.4</f>
        <v>66.400000000000006</v>
      </c>
      <c r="M31" s="23"/>
      <c r="N31" s="24">
        <f>60+5.76</f>
        <v>65.760000000000005</v>
      </c>
      <c r="O31" s="23"/>
      <c r="P31" s="24">
        <f>42.44</f>
        <v>42.44</v>
      </c>
      <c r="Q31" s="23">
        <v>20</v>
      </c>
      <c r="R31" s="24">
        <f>47.72</f>
        <v>47.72</v>
      </c>
      <c r="S31" s="23"/>
      <c r="T31" s="24">
        <f>60+15.56</f>
        <v>75.56</v>
      </c>
      <c r="U31" s="26"/>
      <c r="V31" s="38">
        <f t="shared" si="4"/>
        <v>541.56999999999994</v>
      </c>
      <c r="W31" s="38">
        <f t="shared" si="5"/>
        <v>135.39249999999998</v>
      </c>
      <c r="X31" s="21">
        <f t="shared" si="6"/>
        <v>24</v>
      </c>
      <c r="Y31" s="41">
        <f t="shared" si="7"/>
        <v>159.39249999999998</v>
      </c>
      <c r="Z31" s="40">
        <v>9</v>
      </c>
    </row>
    <row r="32" spans="1:26" ht="18" x14ac:dyDescent="0.2">
      <c r="A32" s="21">
        <v>41</v>
      </c>
      <c r="B32" s="21" t="s">
        <v>51</v>
      </c>
      <c r="C32" s="21" t="s">
        <v>52</v>
      </c>
      <c r="D32" s="22">
        <f>60+42.03</f>
        <v>102.03</v>
      </c>
      <c r="E32" s="23"/>
      <c r="F32" s="24">
        <f>60+9.27</f>
        <v>69.27</v>
      </c>
      <c r="G32" s="23">
        <v>20</v>
      </c>
      <c r="H32" s="24">
        <f>60+12.19</f>
        <v>72.19</v>
      </c>
      <c r="I32" s="25"/>
      <c r="J32" s="24">
        <f>48.68</f>
        <v>48.68</v>
      </c>
      <c r="K32" s="23"/>
      <c r="L32" s="24">
        <f>60+1.91</f>
        <v>61.91</v>
      </c>
      <c r="M32" s="23"/>
      <c r="N32" s="24">
        <f>58.02</f>
        <v>58.02</v>
      </c>
      <c r="O32" s="23"/>
      <c r="P32" s="24">
        <f>37.26</f>
        <v>37.26</v>
      </c>
      <c r="Q32" s="23"/>
      <c r="R32" s="24">
        <f>47.69</f>
        <v>47.69</v>
      </c>
      <c r="S32" s="23"/>
      <c r="T32" s="24">
        <f>60+18.2</f>
        <v>78.2</v>
      </c>
      <c r="U32" s="26">
        <v>2</v>
      </c>
      <c r="V32" s="38">
        <f t="shared" si="4"/>
        <v>575.25</v>
      </c>
      <c r="W32" s="38">
        <f t="shared" si="5"/>
        <v>143.8125</v>
      </c>
      <c r="X32" s="21">
        <f t="shared" si="6"/>
        <v>22</v>
      </c>
      <c r="Y32" s="41">
        <f t="shared" si="7"/>
        <v>165.8125</v>
      </c>
      <c r="Z32" s="40">
        <v>10</v>
      </c>
    </row>
    <row r="33" spans="1:26" ht="18" x14ac:dyDescent="0.2">
      <c r="A33" s="21">
        <v>31</v>
      </c>
      <c r="B33" s="21" t="s">
        <v>46</v>
      </c>
      <c r="C33" s="21" t="s">
        <v>97</v>
      </c>
      <c r="D33" s="22">
        <f>60+43.41</f>
        <v>103.41</v>
      </c>
      <c r="E33" s="23">
        <v>2</v>
      </c>
      <c r="F33" s="24">
        <f>60+9.34</f>
        <v>69.34</v>
      </c>
      <c r="G33" s="23"/>
      <c r="H33" s="24">
        <f>60+6.18</f>
        <v>66.180000000000007</v>
      </c>
      <c r="I33" s="25"/>
      <c r="J33" s="24">
        <f>60+7.33</f>
        <v>67.33</v>
      </c>
      <c r="K33" s="23"/>
      <c r="L33" s="24">
        <f>60+20.16</f>
        <v>80.16</v>
      </c>
      <c r="M33" s="23"/>
      <c r="N33" s="24">
        <f>60+25.27</f>
        <v>85.27</v>
      </c>
      <c r="O33" s="23"/>
      <c r="P33" s="24">
        <f>57.08</f>
        <v>57.08</v>
      </c>
      <c r="Q33" s="23"/>
      <c r="R33" s="24">
        <f>54.63</f>
        <v>54.63</v>
      </c>
      <c r="S33" s="23"/>
      <c r="T33" s="24">
        <f>60+26.38</f>
        <v>86.38</v>
      </c>
      <c r="U33" s="26"/>
      <c r="V33" s="38">
        <f t="shared" si="4"/>
        <v>669.78</v>
      </c>
      <c r="W33" s="38">
        <f t="shared" si="5"/>
        <v>167.44499999999999</v>
      </c>
      <c r="X33" s="21">
        <f t="shared" si="6"/>
        <v>2</v>
      </c>
      <c r="Y33" s="41">
        <f t="shared" si="7"/>
        <v>169.44499999999999</v>
      </c>
      <c r="Z33" s="40">
        <v>11</v>
      </c>
    </row>
    <row r="34" spans="1:26" ht="18" x14ac:dyDescent="0.2">
      <c r="A34" s="27">
        <v>34</v>
      </c>
      <c r="B34" s="27" t="s">
        <v>27</v>
      </c>
      <c r="C34" s="27" t="s">
        <v>65</v>
      </c>
      <c r="D34" s="28">
        <f>60+33.29</f>
        <v>93.289999999999992</v>
      </c>
      <c r="E34" s="29">
        <v>2</v>
      </c>
      <c r="F34" s="30">
        <f>60+1.13</f>
        <v>61.13</v>
      </c>
      <c r="G34" s="29"/>
      <c r="H34" s="30">
        <f>60+0.56</f>
        <v>60.56</v>
      </c>
      <c r="I34" s="31"/>
      <c r="J34" s="30">
        <f>60+10.19</f>
        <v>70.19</v>
      </c>
      <c r="K34" s="29"/>
      <c r="L34" s="30">
        <f>60+1.39</f>
        <v>61.39</v>
      </c>
      <c r="M34" s="29"/>
      <c r="N34" s="30">
        <f>60+15.31</f>
        <v>75.31</v>
      </c>
      <c r="O34" s="29">
        <v>5</v>
      </c>
      <c r="P34" s="30">
        <f>43.34</f>
        <v>43.34</v>
      </c>
      <c r="Q34" s="29"/>
      <c r="R34" s="30">
        <f>52.94</f>
        <v>52.94</v>
      </c>
      <c r="S34" s="29"/>
      <c r="T34" s="30">
        <f>60+12.12</f>
        <v>72.12</v>
      </c>
      <c r="U34" s="32">
        <v>22</v>
      </c>
      <c r="V34" s="38">
        <f t="shared" si="4"/>
        <v>590.26999999999987</v>
      </c>
      <c r="W34" s="38">
        <f t="shared" si="5"/>
        <v>147.56749999999997</v>
      </c>
      <c r="X34" s="21">
        <f t="shared" si="6"/>
        <v>29</v>
      </c>
      <c r="Y34" s="41">
        <f t="shared" si="7"/>
        <v>176.56749999999997</v>
      </c>
      <c r="Z34" s="40">
        <v>12</v>
      </c>
    </row>
    <row r="35" spans="1:26" ht="18" x14ac:dyDescent="0.2">
      <c r="A35" s="27">
        <v>32</v>
      </c>
      <c r="B35" s="27" t="s">
        <v>46</v>
      </c>
      <c r="C35" s="27" t="s">
        <v>63</v>
      </c>
      <c r="D35" s="28">
        <f>60+39.8</f>
        <v>99.8</v>
      </c>
      <c r="E35" s="29"/>
      <c r="F35" s="30">
        <f>60+9.71</f>
        <v>69.710000000000008</v>
      </c>
      <c r="G35" s="29"/>
      <c r="H35" s="30">
        <f>60+36.95</f>
        <v>96.95</v>
      </c>
      <c r="I35" s="31"/>
      <c r="J35" s="30">
        <f>60+6.84</f>
        <v>66.84</v>
      </c>
      <c r="K35" s="29"/>
      <c r="L35" s="30">
        <f>60+60+60+60+20.01</f>
        <v>260.01</v>
      </c>
      <c r="M35" s="29">
        <v>9999</v>
      </c>
      <c r="N35" s="30">
        <f>60+14.46</f>
        <v>74.460000000000008</v>
      </c>
      <c r="O35" s="29"/>
      <c r="P35" s="30">
        <f>53.21</f>
        <v>53.21</v>
      </c>
      <c r="Q35" s="29"/>
      <c r="R35" s="30">
        <f>49.97</f>
        <v>49.97</v>
      </c>
      <c r="S35" s="29"/>
      <c r="T35" s="30">
        <f>60+18.97</f>
        <v>78.97</v>
      </c>
      <c r="U35" s="32"/>
      <c r="V35" s="38">
        <f t="shared" si="4"/>
        <v>849.92000000000007</v>
      </c>
      <c r="W35" s="38">
        <f t="shared" si="5"/>
        <v>212.48000000000002</v>
      </c>
      <c r="X35" s="21">
        <f t="shared" si="6"/>
        <v>9999</v>
      </c>
      <c r="Y35" s="41">
        <v>9999</v>
      </c>
      <c r="Z35" s="40">
        <v>13</v>
      </c>
    </row>
    <row r="37" spans="1:26" ht="19" thickBot="1" x14ac:dyDescent="0.25">
      <c r="A37" s="15" t="s">
        <v>22</v>
      </c>
      <c r="B37" s="3"/>
      <c r="C37" s="3"/>
      <c r="D37" s="4"/>
      <c r="E37" s="3"/>
      <c r="F37" s="4"/>
      <c r="G37" s="3"/>
      <c r="H37" s="4"/>
      <c r="I37" s="5"/>
      <c r="J37" s="4"/>
      <c r="K37" s="3"/>
      <c r="L37" s="4"/>
      <c r="M37" s="3"/>
      <c r="N37" s="4"/>
      <c r="O37" s="3"/>
      <c r="P37" s="4"/>
      <c r="Q37" s="3"/>
      <c r="R37" s="4"/>
      <c r="S37" s="3"/>
      <c r="T37" s="4"/>
      <c r="U37" s="3"/>
      <c r="V37" s="4"/>
      <c r="W37" s="4"/>
      <c r="X37" s="3"/>
      <c r="Y37" s="6"/>
      <c r="Z37" s="5"/>
    </row>
    <row r="38" spans="1:26" ht="19" thickBot="1" x14ac:dyDescent="0.25">
      <c r="A38" s="7" t="s">
        <v>1</v>
      </c>
      <c r="B38" s="8" t="s">
        <v>2</v>
      </c>
      <c r="C38" s="9" t="s">
        <v>3</v>
      </c>
      <c r="D38" s="51" t="s">
        <v>4</v>
      </c>
      <c r="E38" s="52"/>
      <c r="F38" s="53" t="s">
        <v>5</v>
      </c>
      <c r="G38" s="54"/>
      <c r="H38" s="53" t="s">
        <v>6</v>
      </c>
      <c r="I38" s="55"/>
      <c r="J38" s="53" t="s">
        <v>7</v>
      </c>
      <c r="K38" s="52"/>
      <c r="L38" s="53" t="s">
        <v>8</v>
      </c>
      <c r="M38" s="52"/>
      <c r="N38" s="53" t="s">
        <v>9</v>
      </c>
      <c r="O38" s="52"/>
      <c r="P38" s="53" t="s">
        <v>10</v>
      </c>
      <c r="Q38" s="52"/>
      <c r="R38" s="53" t="s">
        <v>11</v>
      </c>
      <c r="S38" s="52"/>
      <c r="T38" s="53" t="s">
        <v>12</v>
      </c>
      <c r="U38" s="56"/>
      <c r="V38" s="10" t="s">
        <v>13</v>
      </c>
      <c r="W38" s="11" t="s">
        <v>14</v>
      </c>
      <c r="X38" s="12" t="s">
        <v>15</v>
      </c>
      <c r="Y38" s="16" t="s">
        <v>16</v>
      </c>
      <c r="Z38" s="14" t="s">
        <v>17</v>
      </c>
    </row>
    <row r="39" spans="1:26" ht="18" x14ac:dyDescent="0.2">
      <c r="A39" s="21">
        <v>55</v>
      </c>
      <c r="B39" s="21" t="s">
        <v>61</v>
      </c>
      <c r="C39" s="21" t="s">
        <v>73</v>
      </c>
      <c r="D39" s="42">
        <f>60+15.87</f>
        <v>75.87</v>
      </c>
      <c r="E39" s="27"/>
      <c r="F39" s="42">
        <f>45.52</f>
        <v>45.52</v>
      </c>
      <c r="G39" s="27"/>
      <c r="H39" s="42">
        <f>43.01</f>
        <v>43.01</v>
      </c>
      <c r="I39" s="44"/>
      <c r="J39" s="42">
        <f>44.5</f>
        <v>44.5</v>
      </c>
      <c r="K39" s="27"/>
      <c r="L39" s="42">
        <f>51.09</f>
        <v>51.09</v>
      </c>
      <c r="M39" s="27"/>
      <c r="N39" s="42">
        <f>55.12</f>
        <v>55.12</v>
      </c>
      <c r="O39" s="27"/>
      <c r="P39" s="42">
        <f>34.83</f>
        <v>34.83</v>
      </c>
      <c r="Q39" s="27"/>
      <c r="R39" s="42">
        <v>39.75</v>
      </c>
      <c r="S39" s="27"/>
      <c r="T39" s="42">
        <f>60+4.81</f>
        <v>64.81</v>
      </c>
      <c r="U39" s="27"/>
      <c r="V39" s="38">
        <f>D39+F39+H39+J39+L39+N39+P39+R39+T39</f>
        <v>454.5</v>
      </c>
      <c r="W39" s="38">
        <f>V39*0.25</f>
        <v>113.625</v>
      </c>
      <c r="X39" s="21">
        <f>E39+G39+I39+K39+M39+O39+Q39+S39+U39</f>
        <v>0</v>
      </c>
      <c r="Y39" s="41">
        <f>W39+X39</f>
        <v>113.625</v>
      </c>
      <c r="Z39" s="40">
        <v>1</v>
      </c>
    </row>
    <row r="40" spans="1:26" ht="18" x14ac:dyDescent="0.2">
      <c r="A40" s="21">
        <v>64</v>
      </c>
      <c r="B40" s="21" t="s">
        <v>61</v>
      </c>
      <c r="C40" s="21" t="s">
        <v>89</v>
      </c>
      <c r="D40" s="42">
        <f>60+11.11</f>
        <v>71.11</v>
      </c>
      <c r="E40" s="27"/>
      <c r="F40" s="42">
        <f>52.9</f>
        <v>52.9</v>
      </c>
      <c r="G40" s="27"/>
      <c r="H40" s="42">
        <f>48.37</f>
        <v>48.37</v>
      </c>
      <c r="I40" s="44"/>
      <c r="J40" s="42">
        <f>50.45</f>
        <v>50.45</v>
      </c>
      <c r="K40" s="27"/>
      <c r="L40" s="42">
        <f>59.32</f>
        <v>59.32</v>
      </c>
      <c r="M40" s="27"/>
      <c r="N40" s="42">
        <f>60+2.65</f>
        <v>62.65</v>
      </c>
      <c r="O40" s="27"/>
      <c r="P40" s="42">
        <f>39.7</f>
        <v>39.700000000000003</v>
      </c>
      <c r="Q40" s="27"/>
      <c r="R40" s="42">
        <f>40.75</f>
        <v>40.75</v>
      </c>
      <c r="S40" s="27"/>
      <c r="T40" s="42">
        <f>60+8.28</f>
        <v>68.28</v>
      </c>
      <c r="U40" s="27"/>
      <c r="V40" s="38">
        <f>D40+F40+H40+J40+L40+N40+P40+R40+T40</f>
        <v>493.53</v>
      </c>
      <c r="W40" s="38">
        <f>V40*0.25</f>
        <v>123.38249999999999</v>
      </c>
      <c r="X40" s="21">
        <f>E40+G40+I40+K40+M40+O40+Q40+S40+U40</f>
        <v>0</v>
      </c>
      <c r="Y40" s="41">
        <f>W40+X40</f>
        <v>123.38249999999999</v>
      </c>
      <c r="Z40" s="40">
        <v>2</v>
      </c>
    </row>
    <row r="41" spans="1:26" ht="18" x14ac:dyDescent="0.2">
      <c r="A41" s="21">
        <v>65</v>
      </c>
      <c r="B41" s="21" t="s">
        <v>61</v>
      </c>
      <c r="C41" s="21" t="s">
        <v>90</v>
      </c>
      <c r="D41" s="42">
        <f>60+12.76</f>
        <v>72.760000000000005</v>
      </c>
      <c r="E41" s="27">
        <v>2</v>
      </c>
      <c r="F41" s="42">
        <f>54.18</f>
        <v>54.18</v>
      </c>
      <c r="G41" s="27"/>
      <c r="H41" s="42">
        <f>51.65</f>
        <v>51.65</v>
      </c>
      <c r="I41" s="44"/>
      <c r="J41" s="42">
        <f>50.13</f>
        <v>50.13</v>
      </c>
      <c r="K41" s="27"/>
      <c r="L41" s="42">
        <f>60+3.78</f>
        <v>63.78</v>
      </c>
      <c r="M41" s="27"/>
      <c r="N41" s="42">
        <f>60+4.95</f>
        <v>64.95</v>
      </c>
      <c r="O41" s="27"/>
      <c r="P41" s="42">
        <f>51.68</f>
        <v>51.68</v>
      </c>
      <c r="Q41" s="27"/>
      <c r="R41" s="42">
        <f>54.25</f>
        <v>54.25</v>
      </c>
      <c r="S41" s="27"/>
      <c r="T41" s="42">
        <f>60+33.63</f>
        <v>93.63</v>
      </c>
      <c r="U41" s="27"/>
      <c r="V41" s="38">
        <f>D41+F41+H41+J41+L41+N41+P41+R41+T41</f>
        <v>557.01</v>
      </c>
      <c r="W41" s="38">
        <f>V41*0.25</f>
        <v>139.2525</v>
      </c>
      <c r="X41" s="21">
        <f>E41+G41+I41+K41+M41+O41+Q41+S41+U41</f>
        <v>2</v>
      </c>
      <c r="Y41" s="41">
        <f>W41+X41</f>
        <v>141.2525</v>
      </c>
      <c r="Z41" s="40">
        <v>3</v>
      </c>
    </row>
    <row r="42" spans="1:26" ht="18" x14ac:dyDescent="0.2">
      <c r="A42" s="27">
        <v>42</v>
      </c>
      <c r="B42" s="27" t="s">
        <v>61</v>
      </c>
      <c r="C42" s="21" t="s">
        <v>62</v>
      </c>
      <c r="D42" s="42">
        <f>60+21.96</f>
        <v>81.960000000000008</v>
      </c>
      <c r="E42" s="27">
        <v>6</v>
      </c>
      <c r="F42" s="42">
        <f>58.63</f>
        <v>58.63</v>
      </c>
      <c r="G42" s="27"/>
      <c r="H42" s="42">
        <f>53.77</f>
        <v>53.77</v>
      </c>
      <c r="I42" s="44"/>
      <c r="J42" s="42">
        <f>60+0.88</f>
        <v>60.88</v>
      </c>
      <c r="K42" s="27"/>
      <c r="L42" s="42">
        <f>60+8.88</f>
        <v>68.88</v>
      </c>
      <c r="M42" s="27"/>
      <c r="N42" s="42">
        <f>60+2.71</f>
        <v>62.71</v>
      </c>
      <c r="O42" s="27"/>
      <c r="P42" s="42">
        <f>48.25</f>
        <v>48.25</v>
      </c>
      <c r="Q42" s="27"/>
      <c r="R42" s="42">
        <f>52.88</f>
        <v>52.88</v>
      </c>
      <c r="S42" s="27"/>
      <c r="T42" s="42">
        <f>60+20.03</f>
        <v>80.03</v>
      </c>
      <c r="U42" s="27"/>
      <c r="V42" s="38">
        <f>D42+F42+H42+J42+L42+N42+P42+R42+T42</f>
        <v>567.99</v>
      </c>
      <c r="W42" s="38">
        <f>V42*0.25</f>
        <v>141.9975</v>
      </c>
      <c r="X42" s="21">
        <f>E42+G42+I42+K42+M42+O42+Q42+S42+U42</f>
        <v>6</v>
      </c>
      <c r="Y42" s="41">
        <f>W42+X42</f>
        <v>147.9975</v>
      </c>
      <c r="Z42" s="44">
        <v>4</v>
      </c>
    </row>
  </sheetData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C101C-A35B-4BD8-80C0-F971980A3093}">
  <sheetPr>
    <pageSetUpPr fitToPage="1"/>
  </sheetPr>
  <dimension ref="A1:Z48"/>
  <sheetViews>
    <sheetView tabSelected="1" zoomScale="70" zoomScaleNormal="70" workbookViewId="0">
      <selection activeCell="Z39" sqref="Z39"/>
    </sheetView>
  </sheetViews>
  <sheetFormatPr baseColWidth="10" defaultColWidth="8.83203125" defaultRowHeight="15" x14ac:dyDescent="0.2"/>
  <cols>
    <col min="3" max="3" width="29.83203125" bestFit="1" customWidth="1"/>
    <col min="4" max="4" width="10.5" bestFit="1" customWidth="1"/>
    <col min="8" max="8" width="12.1640625" bestFit="1" customWidth="1"/>
    <col min="12" max="12" width="10.5" bestFit="1" customWidth="1"/>
    <col min="14" max="14" width="10.5" bestFit="1" customWidth="1"/>
    <col min="18" max="18" width="12.1640625" bestFit="1" customWidth="1"/>
    <col min="20" max="20" width="10.5" bestFit="1" customWidth="1"/>
    <col min="22" max="22" width="13.83203125" bestFit="1" customWidth="1"/>
    <col min="23" max="23" width="12.1640625" bestFit="1" customWidth="1"/>
    <col min="24" max="24" width="9.5" bestFit="1" customWidth="1"/>
    <col min="25" max="25" width="13.83203125" bestFit="1" customWidth="1"/>
  </cols>
  <sheetData>
    <row r="1" spans="1:26" ht="19" thickBot="1" x14ac:dyDescent="0.25">
      <c r="A1" s="15" t="s">
        <v>19</v>
      </c>
      <c r="B1" s="3"/>
      <c r="C1" s="3"/>
      <c r="D1" s="4"/>
      <c r="E1" s="3"/>
      <c r="F1" s="4"/>
      <c r="G1" s="3"/>
      <c r="H1" s="4"/>
      <c r="I1" s="5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4"/>
      <c r="X1" s="3"/>
      <c r="Y1" s="6"/>
      <c r="Z1" s="5"/>
    </row>
    <row r="2" spans="1:26" ht="19" thickBot="1" x14ac:dyDescent="0.25">
      <c r="A2" s="7" t="s">
        <v>1</v>
      </c>
      <c r="B2" s="8" t="s">
        <v>2</v>
      </c>
      <c r="C2" s="9" t="s">
        <v>3</v>
      </c>
      <c r="D2" s="10" t="s">
        <v>4</v>
      </c>
      <c r="E2" s="12"/>
      <c r="F2" s="17" t="s">
        <v>5</v>
      </c>
      <c r="G2" s="18"/>
      <c r="H2" s="17" t="s">
        <v>6</v>
      </c>
      <c r="I2" s="19"/>
      <c r="J2" s="17" t="s">
        <v>7</v>
      </c>
      <c r="K2" s="12"/>
      <c r="L2" s="17" t="s">
        <v>8</v>
      </c>
      <c r="M2" s="12"/>
      <c r="N2" s="17" t="s">
        <v>9</v>
      </c>
      <c r="O2" s="12"/>
      <c r="P2" s="17" t="s">
        <v>10</v>
      </c>
      <c r="Q2" s="12"/>
      <c r="R2" s="17" t="s">
        <v>11</v>
      </c>
      <c r="S2" s="12"/>
      <c r="T2" s="17" t="s">
        <v>12</v>
      </c>
      <c r="U2" s="20"/>
      <c r="V2" s="10" t="s">
        <v>13</v>
      </c>
      <c r="W2" s="11" t="s">
        <v>14</v>
      </c>
      <c r="X2" s="12" t="s">
        <v>15</v>
      </c>
      <c r="Y2" s="16" t="s">
        <v>16</v>
      </c>
      <c r="Z2" s="14" t="s">
        <v>17</v>
      </c>
    </row>
    <row r="3" spans="1:26" ht="18" x14ac:dyDescent="0.2">
      <c r="A3" s="21">
        <v>51</v>
      </c>
      <c r="B3" s="21" t="s">
        <v>23</v>
      </c>
      <c r="C3" s="21" t="s">
        <v>76</v>
      </c>
      <c r="D3" s="22">
        <f>60+1.02</f>
        <v>61.02</v>
      </c>
      <c r="E3" s="23"/>
      <c r="F3" s="24">
        <f>44.44</f>
        <v>44.44</v>
      </c>
      <c r="G3" s="23"/>
      <c r="H3" s="24">
        <f>48.2</f>
        <v>48.2</v>
      </c>
      <c r="I3" s="25"/>
      <c r="J3" s="24">
        <f>41.77</f>
        <v>41.77</v>
      </c>
      <c r="K3" s="23"/>
      <c r="L3" s="24">
        <f>51.2</f>
        <v>51.2</v>
      </c>
      <c r="M3" s="23"/>
      <c r="N3" s="24">
        <f>54.45</f>
        <v>54.45</v>
      </c>
      <c r="O3" s="23"/>
      <c r="P3" s="24">
        <f>31.02</f>
        <v>31.02</v>
      </c>
      <c r="Q3" s="23"/>
      <c r="R3" s="24">
        <v>38.51</v>
      </c>
      <c r="S3" s="23"/>
      <c r="T3" s="24">
        <f>60+0.82</f>
        <v>60.82</v>
      </c>
      <c r="U3" s="26"/>
      <c r="V3" s="38">
        <f t="shared" ref="V3:V24" si="0">D3+F3+H3+J3+L3+N3+P3+R3+T3</f>
        <v>431.43</v>
      </c>
      <c r="W3" s="38">
        <f t="shared" ref="W3:W24" si="1">V3*0.25</f>
        <v>107.8575</v>
      </c>
      <c r="X3" s="21">
        <f t="shared" ref="X3:X24" si="2">E3+G3+I3+K3+M3+O3+Q3+S3+U3</f>
        <v>0</v>
      </c>
      <c r="Y3" s="41">
        <f t="shared" ref="Y3:Y20" si="3">W3+X3</f>
        <v>107.8575</v>
      </c>
      <c r="Z3" s="40">
        <v>1</v>
      </c>
    </row>
    <row r="4" spans="1:26" ht="18" x14ac:dyDescent="0.2">
      <c r="A4" s="27">
        <v>54</v>
      </c>
      <c r="B4" s="27" t="s">
        <v>23</v>
      </c>
      <c r="C4" s="27" t="s">
        <v>79</v>
      </c>
      <c r="D4" s="28">
        <f>60+8.88</f>
        <v>68.88</v>
      </c>
      <c r="E4" s="29"/>
      <c r="F4" s="30">
        <f>44.47</f>
        <v>44.47</v>
      </c>
      <c r="G4" s="29"/>
      <c r="H4" s="30">
        <f>50.25</f>
        <v>50.25</v>
      </c>
      <c r="I4" s="31">
        <v>2</v>
      </c>
      <c r="J4" s="30">
        <f>41.02</f>
        <v>41.02</v>
      </c>
      <c r="K4" s="29"/>
      <c r="L4" s="30">
        <f>50.5</f>
        <v>50.5</v>
      </c>
      <c r="M4" s="29"/>
      <c r="N4" s="30">
        <f>58.96</f>
        <v>58.96</v>
      </c>
      <c r="O4" s="29"/>
      <c r="P4" s="30">
        <f>31.58</f>
        <v>31.58</v>
      </c>
      <c r="Q4" s="29"/>
      <c r="R4" s="30">
        <v>40.520000000000003</v>
      </c>
      <c r="S4" s="29"/>
      <c r="T4" s="30">
        <f>60+1.62</f>
        <v>61.62</v>
      </c>
      <c r="U4" s="32"/>
      <c r="V4" s="42">
        <f t="shared" si="0"/>
        <v>447.79999999999995</v>
      </c>
      <c r="W4" s="42">
        <f t="shared" si="1"/>
        <v>111.94999999999999</v>
      </c>
      <c r="X4" s="27">
        <f t="shared" si="2"/>
        <v>2</v>
      </c>
      <c r="Y4" s="43">
        <f t="shared" si="3"/>
        <v>113.94999999999999</v>
      </c>
      <c r="Z4" s="44">
        <v>2</v>
      </c>
    </row>
    <row r="5" spans="1:26" ht="18" x14ac:dyDescent="0.2">
      <c r="A5" s="27">
        <v>3</v>
      </c>
      <c r="B5" s="27" t="s">
        <v>23</v>
      </c>
      <c r="C5" s="27" t="s">
        <v>26</v>
      </c>
      <c r="D5" s="28">
        <f>60+10.48</f>
        <v>70.48</v>
      </c>
      <c r="E5" s="29"/>
      <c r="F5" s="30">
        <f>47.89</f>
        <v>47.89</v>
      </c>
      <c r="G5" s="29"/>
      <c r="H5" s="30">
        <f>45.33</f>
        <v>45.33</v>
      </c>
      <c r="I5" s="31"/>
      <c r="J5" s="30">
        <f>46.01</f>
        <v>46.01</v>
      </c>
      <c r="K5" s="29"/>
      <c r="L5" s="30">
        <f>53.21</f>
        <v>53.21</v>
      </c>
      <c r="M5" s="29"/>
      <c r="N5" s="30">
        <v>55.45</v>
      </c>
      <c r="O5" s="29"/>
      <c r="P5" s="30">
        <f>34.19</f>
        <v>34.19</v>
      </c>
      <c r="Q5" s="29"/>
      <c r="R5" s="30">
        <f>39.21</f>
        <v>39.21</v>
      </c>
      <c r="S5" s="29"/>
      <c r="T5" s="30">
        <f>60+9.44</f>
        <v>69.44</v>
      </c>
      <c r="U5" s="32"/>
      <c r="V5" s="42">
        <f t="shared" si="0"/>
        <v>461.20999999999992</v>
      </c>
      <c r="W5" s="42">
        <f t="shared" si="1"/>
        <v>115.30249999999998</v>
      </c>
      <c r="X5" s="27">
        <f t="shared" si="2"/>
        <v>0</v>
      </c>
      <c r="Y5" s="43">
        <f t="shared" si="3"/>
        <v>115.30249999999998</v>
      </c>
      <c r="Z5" s="44">
        <v>3</v>
      </c>
    </row>
    <row r="6" spans="1:26" ht="18" x14ac:dyDescent="0.2">
      <c r="A6" s="27">
        <v>59</v>
      </c>
      <c r="B6" s="27" t="s">
        <v>23</v>
      </c>
      <c r="C6" s="27" t="s">
        <v>84</v>
      </c>
      <c r="D6" s="28">
        <f>60+16.26</f>
        <v>76.260000000000005</v>
      </c>
      <c r="E6" s="29"/>
      <c r="F6" s="30">
        <f>47.31</f>
        <v>47.31</v>
      </c>
      <c r="G6" s="29"/>
      <c r="H6" s="30">
        <f>59.82</f>
        <v>59.82</v>
      </c>
      <c r="I6" s="31"/>
      <c r="J6" s="30">
        <f>44.31</f>
        <v>44.31</v>
      </c>
      <c r="K6" s="29"/>
      <c r="L6" s="30">
        <f>51.78</f>
        <v>51.78</v>
      </c>
      <c r="M6" s="29"/>
      <c r="N6" s="30">
        <f>56.58</f>
        <v>56.58</v>
      </c>
      <c r="O6" s="29"/>
      <c r="P6" s="30">
        <f>36.38</f>
        <v>36.380000000000003</v>
      </c>
      <c r="Q6" s="29"/>
      <c r="R6" s="30">
        <f>46.02</f>
        <v>46.02</v>
      </c>
      <c r="S6" s="29"/>
      <c r="T6" s="30">
        <f>60+12.02</f>
        <v>72.02</v>
      </c>
      <c r="U6" s="32"/>
      <c r="V6" s="42">
        <f t="shared" si="0"/>
        <v>490.47999999999996</v>
      </c>
      <c r="W6" s="42">
        <f t="shared" si="1"/>
        <v>122.61999999999999</v>
      </c>
      <c r="X6" s="27">
        <f t="shared" si="2"/>
        <v>0</v>
      </c>
      <c r="Y6" s="43">
        <f t="shared" si="3"/>
        <v>122.61999999999999</v>
      </c>
      <c r="Z6" s="44">
        <v>4</v>
      </c>
    </row>
    <row r="7" spans="1:26" ht="18" x14ac:dyDescent="0.2">
      <c r="A7" s="27">
        <v>10</v>
      </c>
      <c r="B7" s="27" t="s">
        <v>23</v>
      </c>
      <c r="C7" s="27" t="s">
        <v>36</v>
      </c>
      <c r="D7" s="28">
        <f>60+21.52</f>
        <v>81.52</v>
      </c>
      <c r="E7" s="29"/>
      <c r="F7" s="30">
        <f>51.01</f>
        <v>51.01</v>
      </c>
      <c r="G7" s="29"/>
      <c r="H7" s="30">
        <f>47.25</f>
        <v>47.25</v>
      </c>
      <c r="I7" s="31"/>
      <c r="J7" s="30">
        <v>44.17</v>
      </c>
      <c r="K7" s="29"/>
      <c r="L7" s="30">
        <f>56.27</f>
        <v>56.27</v>
      </c>
      <c r="M7" s="29"/>
      <c r="N7" s="30">
        <f>57.66</f>
        <v>57.66</v>
      </c>
      <c r="O7" s="29"/>
      <c r="P7" s="30">
        <f>36.94</f>
        <v>36.94</v>
      </c>
      <c r="Q7" s="29"/>
      <c r="R7" s="30">
        <f>50.63</f>
        <v>50.63</v>
      </c>
      <c r="S7" s="29"/>
      <c r="T7" s="30">
        <f>60+17.02</f>
        <v>77.02</v>
      </c>
      <c r="U7" s="32"/>
      <c r="V7" s="42">
        <f t="shared" si="0"/>
        <v>502.46999999999997</v>
      </c>
      <c r="W7" s="42">
        <f t="shared" si="1"/>
        <v>125.61749999999999</v>
      </c>
      <c r="X7" s="27">
        <f t="shared" si="2"/>
        <v>0</v>
      </c>
      <c r="Y7" s="43">
        <f t="shared" si="3"/>
        <v>125.61749999999999</v>
      </c>
      <c r="Z7" s="44">
        <v>5</v>
      </c>
    </row>
    <row r="8" spans="1:26" ht="18" x14ac:dyDescent="0.2">
      <c r="A8" s="27">
        <v>29</v>
      </c>
      <c r="B8" s="27" t="s">
        <v>23</v>
      </c>
      <c r="C8" s="27" t="s">
        <v>59</v>
      </c>
      <c r="D8" s="28">
        <f>60+29.68</f>
        <v>89.68</v>
      </c>
      <c r="E8" s="29">
        <v>2</v>
      </c>
      <c r="F8" s="30">
        <f>48.12</f>
        <v>48.12</v>
      </c>
      <c r="G8" s="29"/>
      <c r="H8" s="30">
        <f>49.39</f>
        <v>49.39</v>
      </c>
      <c r="I8" s="31"/>
      <c r="J8" s="30">
        <f>46.27</f>
        <v>46.27</v>
      </c>
      <c r="K8" s="29"/>
      <c r="L8" s="30">
        <f>59.12</f>
        <v>59.12</v>
      </c>
      <c r="M8" s="29"/>
      <c r="N8" s="30">
        <f>60+9.1</f>
        <v>69.099999999999994</v>
      </c>
      <c r="O8" s="29"/>
      <c r="P8" s="30">
        <f>42.32</f>
        <v>42.32</v>
      </c>
      <c r="Q8" s="29"/>
      <c r="R8" s="30">
        <f>42.64</f>
        <v>42.64</v>
      </c>
      <c r="S8" s="29"/>
      <c r="T8" s="30">
        <f>60+8.57</f>
        <v>68.569999999999993</v>
      </c>
      <c r="U8" s="32"/>
      <c r="V8" s="42">
        <f t="shared" si="0"/>
        <v>515.20999999999992</v>
      </c>
      <c r="W8" s="42">
        <f t="shared" si="1"/>
        <v>128.80249999999998</v>
      </c>
      <c r="X8" s="27">
        <f t="shared" si="2"/>
        <v>2</v>
      </c>
      <c r="Y8" s="43">
        <f t="shared" si="3"/>
        <v>130.80249999999998</v>
      </c>
      <c r="Z8" s="44">
        <v>6</v>
      </c>
    </row>
    <row r="9" spans="1:26" ht="18" x14ac:dyDescent="0.2">
      <c r="A9" s="27">
        <v>17</v>
      </c>
      <c r="B9" s="27" t="s">
        <v>23</v>
      </c>
      <c r="C9" s="27" t="s">
        <v>43</v>
      </c>
      <c r="D9" s="28">
        <f>60+25.53</f>
        <v>85.53</v>
      </c>
      <c r="E9" s="29"/>
      <c r="F9" s="30">
        <f>53.81</f>
        <v>53.81</v>
      </c>
      <c r="G9" s="29"/>
      <c r="H9" s="30">
        <f>52.4</f>
        <v>52.4</v>
      </c>
      <c r="I9" s="31"/>
      <c r="J9" s="30">
        <f>50.76</f>
        <v>50.76</v>
      </c>
      <c r="K9" s="29"/>
      <c r="L9" s="30">
        <f>60+0.47</f>
        <v>60.47</v>
      </c>
      <c r="M9" s="29"/>
      <c r="N9" s="30">
        <f>60+5.26</f>
        <v>65.260000000000005</v>
      </c>
      <c r="O9" s="29"/>
      <c r="P9" s="30">
        <f>40.69</f>
        <v>40.69</v>
      </c>
      <c r="Q9" s="29"/>
      <c r="R9" s="30">
        <f>44.89</f>
        <v>44.89</v>
      </c>
      <c r="S9" s="29"/>
      <c r="T9" s="30">
        <f>60+19.22</f>
        <v>79.22</v>
      </c>
      <c r="U9" s="32"/>
      <c r="V9" s="42">
        <f t="shared" si="0"/>
        <v>533.03</v>
      </c>
      <c r="W9" s="42">
        <f t="shared" si="1"/>
        <v>133.25749999999999</v>
      </c>
      <c r="X9" s="27">
        <f t="shared" si="2"/>
        <v>0</v>
      </c>
      <c r="Y9" s="43">
        <f t="shared" si="3"/>
        <v>133.25749999999999</v>
      </c>
      <c r="Z9" s="44">
        <v>7</v>
      </c>
    </row>
    <row r="10" spans="1:26" ht="18" x14ac:dyDescent="0.2">
      <c r="A10" s="27">
        <v>18</v>
      </c>
      <c r="B10" s="27" t="s">
        <v>23</v>
      </c>
      <c r="C10" s="27" t="s">
        <v>44</v>
      </c>
      <c r="D10" s="28">
        <f>60+16.6</f>
        <v>76.599999999999994</v>
      </c>
      <c r="E10" s="29">
        <v>2</v>
      </c>
      <c r="F10" s="30">
        <f>56.14</f>
        <v>56.14</v>
      </c>
      <c r="G10" s="29"/>
      <c r="H10" s="30">
        <f>50.52</f>
        <v>50.52</v>
      </c>
      <c r="I10" s="31"/>
      <c r="J10" s="30">
        <f>58.57</f>
        <v>58.57</v>
      </c>
      <c r="K10" s="29"/>
      <c r="L10" s="30">
        <f>60+14.09</f>
        <v>74.09</v>
      </c>
      <c r="M10" s="29"/>
      <c r="N10" s="30">
        <f>60+5.08</f>
        <v>65.08</v>
      </c>
      <c r="O10" s="29"/>
      <c r="P10" s="30">
        <f>39.39</f>
        <v>39.39</v>
      </c>
      <c r="Q10" s="29"/>
      <c r="R10" s="30">
        <f>45.71</f>
        <v>45.71</v>
      </c>
      <c r="S10" s="29"/>
      <c r="T10" s="30">
        <f>60+12.69</f>
        <v>72.69</v>
      </c>
      <c r="U10" s="32"/>
      <c r="V10" s="42">
        <f t="shared" si="0"/>
        <v>538.79</v>
      </c>
      <c r="W10" s="42">
        <f t="shared" si="1"/>
        <v>134.69749999999999</v>
      </c>
      <c r="X10" s="27">
        <f t="shared" si="2"/>
        <v>2</v>
      </c>
      <c r="Y10" s="43">
        <f t="shared" si="3"/>
        <v>136.69749999999999</v>
      </c>
      <c r="Z10" s="44">
        <v>8</v>
      </c>
    </row>
    <row r="11" spans="1:26" ht="18" x14ac:dyDescent="0.2">
      <c r="A11" s="27">
        <v>1</v>
      </c>
      <c r="B11" s="27" t="s">
        <v>23</v>
      </c>
      <c r="C11" s="27" t="s">
        <v>24</v>
      </c>
      <c r="D11" s="28">
        <f>60+29.16</f>
        <v>89.16</v>
      </c>
      <c r="E11" s="29"/>
      <c r="F11" s="30">
        <f>60+12.53</f>
        <v>72.53</v>
      </c>
      <c r="G11" s="29"/>
      <c r="H11" s="30">
        <f>56.22</f>
        <v>56.22</v>
      </c>
      <c r="I11" s="31"/>
      <c r="J11" s="30">
        <f>57.84</f>
        <v>57.84</v>
      </c>
      <c r="K11" s="29"/>
      <c r="L11" s="30">
        <f>60+13.58</f>
        <v>73.58</v>
      </c>
      <c r="M11" s="29"/>
      <c r="N11" s="30">
        <f>60+8.32</f>
        <v>68.319999999999993</v>
      </c>
      <c r="O11" s="29"/>
      <c r="P11" s="30">
        <v>43.52</v>
      </c>
      <c r="Q11" s="29"/>
      <c r="R11" s="30">
        <v>46.89</v>
      </c>
      <c r="S11" s="29"/>
      <c r="T11" s="30">
        <f>60+13.02</f>
        <v>73.02</v>
      </c>
      <c r="U11" s="32"/>
      <c r="V11" s="42">
        <f t="shared" si="0"/>
        <v>581.07999999999993</v>
      </c>
      <c r="W11" s="42">
        <f t="shared" si="1"/>
        <v>145.26999999999998</v>
      </c>
      <c r="X11" s="27">
        <f t="shared" si="2"/>
        <v>0</v>
      </c>
      <c r="Y11" s="43">
        <f t="shared" si="3"/>
        <v>145.26999999999998</v>
      </c>
      <c r="Z11" s="44">
        <v>9</v>
      </c>
    </row>
    <row r="12" spans="1:26" ht="18" x14ac:dyDescent="0.2">
      <c r="A12" s="27">
        <v>2</v>
      </c>
      <c r="B12" s="27" t="s">
        <v>23</v>
      </c>
      <c r="C12" s="27" t="s">
        <v>25</v>
      </c>
      <c r="D12" s="28">
        <f>60+30.05</f>
        <v>90.05</v>
      </c>
      <c r="E12" s="29"/>
      <c r="F12" s="30">
        <f>60+9.71</f>
        <v>69.710000000000008</v>
      </c>
      <c r="G12" s="29"/>
      <c r="H12" s="30">
        <f>46.9</f>
        <v>46.9</v>
      </c>
      <c r="I12" s="31"/>
      <c r="J12" s="30">
        <f>60+3.45</f>
        <v>63.45</v>
      </c>
      <c r="K12" s="29"/>
      <c r="L12" s="30">
        <f>60+18.2</f>
        <v>78.2</v>
      </c>
      <c r="M12" s="29"/>
      <c r="N12" s="30">
        <f>60+3.88</f>
        <v>63.88</v>
      </c>
      <c r="O12" s="29"/>
      <c r="P12" s="30">
        <v>47.08</v>
      </c>
      <c r="Q12" s="29"/>
      <c r="R12" s="30">
        <v>54.38</v>
      </c>
      <c r="S12" s="29"/>
      <c r="T12" s="30">
        <f>60+10.64</f>
        <v>70.64</v>
      </c>
      <c r="U12" s="32"/>
      <c r="V12" s="42">
        <f t="shared" si="0"/>
        <v>584.29</v>
      </c>
      <c r="W12" s="42">
        <f t="shared" si="1"/>
        <v>146.07249999999999</v>
      </c>
      <c r="X12" s="27">
        <f t="shared" si="2"/>
        <v>0</v>
      </c>
      <c r="Y12" s="43">
        <f t="shared" si="3"/>
        <v>146.07249999999999</v>
      </c>
      <c r="Z12" s="44">
        <v>10</v>
      </c>
    </row>
    <row r="13" spans="1:26" ht="18" x14ac:dyDescent="0.2">
      <c r="A13" s="27">
        <v>33</v>
      </c>
      <c r="B13" s="27" t="s">
        <v>23</v>
      </c>
      <c r="C13" s="27" t="s">
        <v>64</v>
      </c>
      <c r="D13" s="28">
        <f>60+33.78</f>
        <v>93.78</v>
      </c>
      <c r="E13" s="29">
        <v>2</v>
      </c>
      <c r="F13" s="30">
        <f>55.32</f>
        <v>55.32</v>
      </c>
      <c r="G13" s="29"/>
      <c r="H13" s="30">
        <f>56.07</f>
        <v>56.07</v>
      </c>
      <c r="I13" s="31"/>
      <c r="J13" s="30">
        <f>52.56</f>
        <v>52.56</v>
      </c>
      <c r="K13" s="29"/>
      <c r="L13" s="30">
        <f>60+20.91</f>
        <v>80.91</v>
      </c>
      <c r="M13" s="29"/>
      <c r="N13" s="30">
        <f>60+8.83</f>
        <v>68.83</v>
      </c>
      <c r="O13" s="29"/>
      <c r="P13" s="30">
        <f>40.15</f>
        <v>40.15</v>
      </c>
      <c r="Q13" s="29"/>
      <c r="R13" s="30">
        <f>46.83</f>
        <v>46.83</v>
      </c>
      <c r="S13" s="29"/>
      <c r="T13" s="30">
        <f>60+30.32</f>
        <v>90.32</v>
      </c>
      <c r="U13" s="32">
        <v>2</v>
      </c>
      <c r="V13" s="42">
        <f t="shared" si="0"/>
        <v>584.77</v>
      </c>
      <c r="W13" s="42">
        <f t="shared" si="1"/>
        <v>146.1925</v>
      </c>
      <c r="X13" s="27">
        <f t="shared" si="2"/>
        <v>4</v>
      </c>
      <c r="Y13" s="43">
        <f t="shared" si="3"/>
        <v>150.1925</v>
      </c>
      <c r="Z13" s="44">
        <v>11</v>
      </c>
    </row>
    <row r="14" spans="1:26" ht="18" x14ac:dyDescent="0.2">
      <c r="A14" s="27">
        <v>4</v>
      </c>
      <c r="B14" s="27" t="s">
        <v>23</v>
      </c>
      <c r="C14" s="27" t="s">
        <v>54</v>
      </c>
      <c r="D14" s="28">
        <f>60+20.96</f>
        <v>80.960000000000008</v>
      </c>
      <c r="E14" s="29"/>
      <c r="F14" s="30">
        <f>60+9.89</f>
        <v>69.89</v>
      </c>
      <c r="G14" s="29"/>
      <c r="H14" s="30">
        <f>54.33</f>
        <v>54.33</v>
      </c>
      <c r="I14" s="31"/>
      <c r="J14" s="30">
        <f>60+7.26</f>
        <v>67.260000000000005</v>
      </c>
      <c r="K14" s="29"/>
      <c r="L14" s="30">
        <f>60+12.91</f>
        <v>72.91</v>
      </c>
      <c r="M14" s="29"/>
      <c r="N14" s="30">
        <f>60+20.71</f>
        <v>80.710000000000008</v>
      </c>
      <c r="O14" s="29"/>
      <c r="P14" s="30">
        <f>58.2</f>
        <v>58.2</v>
      </c>
      <c r="Q14" s="29"/>
      <c r="R14" s="30">
        <f>55.06</f>
        <v>55.06</v>
      </c>
      <c r="S14" s="29"/>
      <c r="T14" s="30">
        <f>60+16.57</f>
        <v>76.569999999999993</v>
      </c>
      <c r="U14" s="32"/>
      <c r="V14" s="42">
        <f t="shared" si="0"/>
        <v>615.8900000000001</v>
      </c>
      <c r="W14" s="42">
        <f t="shared" si="1"/>
        <v>153.97250000000003</v>
      </c>
      <c r="X14" s="27">
        <f t="shared" si="2"/>
        <v>0</v>
      </c>
      <c r="Y14" s="43">
        <f t="shared" si="3"/>
        <v>153.97250000000003</v>
      </c>
      <c r="Z14" s="44">
        <v>12</v>
      </c>
    </row>
    <row r="15" spans="1:26" ht="18" x14ac:dyDescent="0.2">
      <c r="A15" s="27">
        <v>26</v>
      </c>
      <c r="B15" s="27" t="s">
        <v>23</v>
      </c>
      <c r="C15" s="27" t="s">
        <v>56</v>
      </c>
      <c r="D15" s="28">
        <f>60+32.9</f>
        <v>92.9</v>
      </c>
      <c r="E15" s="29">
        <v>2</v>
      </c>
      <c r="F15" s="30">
        <f>60+1.26</f>
        <v>61.26</v>
      </c>
      <c r="G15" s="29"/>
      <c r="H15" s="30">
        <f>55.71</f>
        <v>55.71</v>
      </c>
      <c r="I15" s="31"/>
      <c r="J15" s="30">
        <f>58.43</f>
        <v>58.43</v>
      </c>
      <c r="K15" s="29"/>
      <c r="L15" s="30">
        <f>60+23.37</f>
        <v>83.37</v>
      </c>
      <c r="M15" s="29"/>
      <c r="N15" s="30">
        <f>60+12.89</f>
        <v>72.89</v>
      </c>
      <c r="O15" s="29"/>
      <c r="P15" s="30">
        <f>47.45</f>
        <v>47.45</v>
      </c>
      <c r="Q15" s="29"/>
      <c r="R15" s="30">
        <f>53.57</f>
        <v>53.57</v>
      </c>
      <c r="S15" s="29"/>
      <c r="T15" s="30">
        <f>60+30.64</f>
        <v>90.64</v>
      </c>
      <c r="U15" s="32"/>
      <c r="V15" s="42">
        <f t="shared" si="0"/>
        <v>616.22</v>
      </c>
      <c r="W15" s="42">
        <f t="shared" si="1"/>
        <v>154.05500000000001</v>
      </c>
      <c r="X15" s="27">
        <f t="shared" si="2"/>
        <v>2</v>
      </c>
      <c r="Y15" s="43">
        <f t="shared" si="3"/>
        <v>156.05500000000001</v>
      </c>
      <c r="Z15" s="44">
        <v>13</v>
      </c>
    </row>
    <row r="16" spans="1:26" ht="18" x14ac:dyDescent="0.2">
      <c r="A16" s="27">
        <v>27</v>
      </c>
      <c r="B16" s="27" t="s">
        <v>23</v>
      </c>
      <c r="C16" s="27" t="s">
        <v>57</v>
      </c>
      <c r="D16" s="28">
        <f>60+29.45</f>
        <v>89.45</v>
      </c>
      <c r="E16" s="29">
        <v>2</v>
      </c>
      <c r="F16" s="30">
        <f>60+4.88</f>
        <v>64.88</v>
      </c>
      <c r="G16" s="29"/>
      <c r="H16" s="30">
        <f>60+6.65</f>
        <v>66.650000000000006</v>
      </c>
      <c r="I16" s="31"/>
      <c r="J16" s="30">
        <f>60+9.5</f>
        <v>69.5</v>
      </c>
      <c r="K16" s="29"/>
      <c r="L16" s="30">
        <f>60+15.51</f>
        <v>75.510000000000005</v>
      </c>
      <c r="M16" s="29"/>
      <c r="N16" s="30">
        <f>60+12.08</f>
        <v>72.08</v>
      </c>
      <c r="O16" s="29"/>
      <c r="P16" s="30">
        <f>52.4</f>
        <v>52.4</v>
      </c>
      <c r="Q16" s="29"/>
      <c r="R16" s="30">
        <f>60+0.69</f>
        <v>60.69</v>
      </c>
      <c r="S16" s="29"/>
      <c r="T16" s="30">
        <f>60+30.22</f>
        <v>90.22</v>
      </c>
      <c r="U16" s="32"/>
      <c r="V16" s="42">
        <f t="shared" si="0"/>
        <v>641.38</v>
      </c>
      <c r="W16" s="42">
        <f t="shared" si="1"/>
        <v>160.345</v>
      </c>
      <c r="X16" s="27">
        <f t="shared" si="2"/>
        <v>2</v>
      </c>
      <c r="Y16" s="43">
        <f t="shared" si="3"/>
        <v>162.345</v>
      </c>
      <c r="Z16" s="44">
        <v>14</v>
      </c>
    </row>
    <row r="17" spans="1:26" ht="18" x14ac:dyDescent="0.2">
      <c r="A17" s="27">
        <v>37</v>
      </c>
      <c r="B17" s="27" t="s">
        <v>23</v>
      </c>
      <c r="C17" s="27" t="s">
        <v>99</v>
      </c>
      <c r="D17" s="28">
        <f>60+45.41</f>
        <v>105.41</v>
      </c>
      <c r="E17" s="29">
        <v>2</v>
      </c>
      <c r="F17" s="30">
        <f>60+10.5</f>
        <v>70.5</v>
      </c>
      <c r="G17" s="29"/>
      <c r="H17" s="30">
        <f>60+1.39</f>
        <v>61.39</v>
      </c>
      <c r="I17" s="31"/>
      <c r="J17" s="30">
        <f>58.84</f>
        <v>58.84</v>
      </c>
      <c r="K17" s="29"/>
      <c r="L17" s="30">
        <f>60+10.97</f>
        <v>70.97</v>
      </c>
      <c r="M17" s="29"/>
      <c r="N17" s="30">
        <f>60+14.32</f>
        <v>74.319999999999993</v>
      </c>
      <c r="O17" s="29"/>
      <c r="P17" s="30">
        <f>44.9</f>
        <v>44.9</v>
      </c>
      <c r="Q17" s="29"/>
      <c r="R17" s="30">
        <f>59.81</f>
        <v>59.81</v>
      </c>
      <c r="S17" s="29"/>
      <c r="T17" s="30">
        <f>60+36.85</f>
        <v>96.85</v>
      </c>
      <c r="U17" s="32"/>
      <c r="V17" s="42">
        <f t="shared" si="0"/>
        <v>642.99</v>
      </c>
      <c r="W17" s="42">
        <f t="shared" si="1"/>
        <v>160.7475</v>
      </c>
      <c r="X17" s="27">
        <f t="shared" si="2"/>
        <v>2</v>
      </c>
      <c r="Y17" s="43">
        <f t="shared" si="3"/>
        <v>162.7475</v>
      </c>
      <c r="Z17" s="44">
        <v>15</v>
      </c>
    </row>
    <row r="18" spans="1:26" ht="18" x14ac:dyDescent="0.2">
      <c r="A18" s="27">
        <v>61</v>
      </c>
      <c r="B18" s="27" t="s">
        <v>23</v>
      </c>
      <c r="C18" s="27" t="s">
        <v>86</v>
      </c>
      <c r="D18" s="28">
        <f>60+22.5</f>
        <v>82.5</v>
      </c>
      <c r="E18" s="29">
        <v>2</v>
      </c>
      <c r="F18" s="30">
        <f>60+2.06</f>
        <v>62.06</v>
      </c>
      <c r="G18" s="29"/>
      <c r="H18" s="30">
        <f>58.02</f>
        <v>58.02</v>
      </c>
      <c r="I18" s="31"/>
      <c r="J18" s="30">
        <f>59.03</f>
        <v>59.03</v>
      </c>
      <c r="K18" s="29"/>
      <c r="L18" s="30">
        <f>60+16.38</f>
        <v>76.38</v>
      </c>
      <c r="M18" s="29"/>
      <c r="N18" s="30">
        <f>60+12.56</f>
        <v>72.56</v>
      </c>
      <c r="O18" s="29"/>
      <c r="P18" s="30">
        <f>44.38</f>
        <v>44.38</v>
      </c>
      <c r="Q18" s="29"/>
      <c r="R18" s="30">
        <f>52.38</f>
        <v>52.38</v>
      </c>
      <c r="S18" s="29">
        <v>2</v>
      </c>
      <c r="T18" s="30">
        <f>60+60+9.38</f>
        <v>129.38</v>
      </c>
      <c r="U18" s="32"/>
      <c r="V18" s="42">
        <f t="shared" si="0"/>
        <v>636.69000000000005</v>
      </c>
      <c r="W18" s="42">
        <f t="shared" si="1"/>
        <v>159.17250000000001</v>
      </c>
      <c r="X18" s="27">
        <f t="shared" si="2"/>
        <v>4</v>
      </c>
      <c r="Y18" s="43">
        <f t="shared" si="3"/>
        <v>163.17250000000001</v>
      </c>
      <c r="Z18" s="44">
        <v>16</v>
      </c>
    </row>
    <row r="19" spans="1:26" ht="18" x14ac:dyDescent="0.2">
      <c r="A19" s="27">
        <v>28</v>
      </c>
      <c r="B19" s="27" t="s">
        <v>23</v>
      </c>
      <c r="C19" s="27" t="s">
        <v>58</v>
      </c>
      <c r="D19" s="28">
        <f>60+27.88</f>
        <v>87.88</v>
      </c>
      <c r="E19" s="29">
        <v>2</v>
      </c>
      <c r="F19" s="30">
        <f>60+2.75</f>
        <v>62.75</v>
      </c>
      <c r="G19" s="29"/>
      <c r="H19" s="30">
        <f>51.82</f>
        <v>51.82</v>
      </c>
      <c r="I19" s="31"/>
      <c r="J19" s="30">
        <f>52.97</f>
        <v>52.97</v>
      </c>
      <c r="K19" s="29"/>
      <c r="L19" s="30">
        <f>60+11.28</f>
        <v>71.28</v>
      </c>
      <c r="M19" s="29"/>
      <c r="N19" s="30">
        <f>60+7.94</f>
        <v>67.94</v>
      </c>
      <c r="O19" s="29"/>
      <c r="P19" s="30">
        <f>41.57</f>
        <v>41.57</v>
      </c>
      <c r="Q19" s="29"/>
      <c r="R19" s="30">
        <f>50.51</f>
        <v>50.51</v>
      </c>
      <c r="S19" s="29"/>
      <c r="T19" s="30">
        <f>60+60+50.13</f>
        <v>170.13</v>
      </c>
      <c r="U19" s="32">
        <v>5</v>
      </c>
      <c r="V19" s="42">
        <f t="shared" si="0"/>
        <v>656.84999999999991</v>
      </c>
      <c r="W19" s="42">
        <f t="shared" si="1"/>
        <v>164.21249999999998</v>
      </c>
      <c r="X19" s="27">
        <f t="shared" si="2"/>
        <v>7</v>
      </c>
      <c r="Y19" s="43">
        <f t="shared" si="3"/>
        <v>171.21249999999998</v>
      </c>
      <c r="Z19" s="44">
        <v>17</v>
      </c>
    </row>
    <row r="20" spans="1:26" ht="18" x14ac:dyDescent="0.2">
      <c r="A20" s="27">
        <v>44</v>
      </c>
      <c r="B20" s="27" t="s">
        <v>23</v>
      </c>
      <c r="C20" s="27" t="s">
        <v>70</v>
      </c>
      <c r="D20" s="28">
        <f>60+26.77</f>
        <v>86.77</v>
      </c>
      <c r="E20" s="29">
        <v>2</v>
      </c>
      <c r="F20" s="30">
        <f>60+19.32</f>
        <v>79.319999999999993</v>
      </c>
      <c r="G20" s="29"/>
      <c r="H20" s="30">
        <f>60+8.89</f>
        <v>68.89</v>
      </c>
      <c r="I20" s="31"/>
      <c r="J20" s="30">
        <f>60+10.88</f>
        <v>70.88</v>
      </c>
      <c r="K20" s="29"/>
      <c r="L20" s="30">
        <f>60+21.51</f>
        <v>81.510000000000005</v>
      </c>
      <c r="M20" s="29"/>
      <c r="N20" s="30">
        <f>60+21.25</f>
        <v>81.25</v>
      </c>
      <c r="O20" s="29"/>
      <c r="P20" s="30">
        <f>57.31</f>
        <v>57.31</v>
      </c>
      <c r="Q20" s="29"/>
      <c r="R20" s="30">
        <f>52.88</f>
        <v>52.88</v>
      </c>
      <c r="S20" s="29"/>
      <c r="T20" s="30">
        <f>60+44.07</f>
        <v>104.07</v>
      </c>
      <c r="U20" s="32"/>
      <c r="V20" s="42">
        <f t="shared" si="0"/>
        <v>682.87999999999988</v>
      </c>
      <c r="W20" s="42">
        <f t="shared" si="1"/>
        <v>170.71999999999997</v>
      </c>
      <c r="X20" s="27">
        <f t="shared" si="2"/>
        <v>2</v>
      </c>
      <c r="Y20" s="43">
        <f t="shared" si="3"/>
        <v>172.71999999999997</v>
      </c>
      <c r="Z20" s="44">
        <v>18</v>
      </c>
    </row>
    <row r="21" spans="1:26" ht="18" x14ac:dyDescent="0.2">
      <c r="A21" s="27">
        <v>22</v>
      </c>
      <c r="B21" s="27" t="s">
        <v>23</v>
      </c>
      <c r="C21" s="27" t="s">
        <v>53</v>
      </c>
      <c r="D21" s="28">
        <f>60+45.83</f>
        <v>105.83</v>
      </c>
      <c r="E21" s="29"/>
      <c r="F21" s="30">
        <f>60+3.22</f>
        <v>63.22</v>
      </c>
      <c r="G21" s="29"/>
      <c r="H21" s="30">
        <f>60+30</f>
        <v>90</v>
      </c>
      <c r="I21" s="31">
        <v>9999</v>
      </c>
      <c r="J21" s="30">
        <f>60+28.56</f>
        <v>88.56</v>
      </c>
      <c r="K21" s="29"/>
      <c r="L21" s="30">
        <f>60+35.96</f>
        <v>95.960000000000008</v>
      </c>
      <c r="M21" s="29"/>
      <c r="N21" s="30">
        <f>60+60+56.5</f>
        <v>176.5</v>
      </c>
      <c r="O21" s="29">
        <v>40</v>
      </c>
      <c r="P21" s="30">
        <f>60+22.36</f>
        <v>82.36</v>
      </c>
      <c r="Q21" s="29"/>
      <c r="R21" s="30">
        <f>60+54.01</f>
        <v>114.00999999999999</v>
      </c>
      <c r="S21" s="29">
        <v>20</v>
      </c>
      <c r="T21" s="30">
        <f>60+41.07</f>
        <v>101.07</v>
      </c>
      <c r="U21" s="32"/>
      <c r="V21" s="42">
        <f t="shared" si="0"/>
        <v>917.51</v>
      </c>
      <c r="W21" s="42">
        <f t="shared" si="1"/>
        <v>229.3775</v>
      </c>
      <c r="X21" s="27">
        <f t="shared" si="2"/>
        <v>10059</v>
      </c>
      <c r="Y21" s="43">
        <v>9999</v>
      </c>
      <c r="Z21" s="44">
        <v>19</v>
      </c>
    </row>
    <row r="22" spans="1:26" ht="18" x14ac:dyDescent="0.2">
      <c r="A22" s="27">
        <v>24</v>
      </c>
      <c r="B22" s="27" t="s">
        <v>23</v>
      </c>
      <c r="C22" s="27" t="s">
        <v>50</v>
      </c>
      <c r="D22" s="28">
        <f>60+32.57</f>
        <v>92.57</v>
      </c>
      <c r="E22" s="29"/>
      <c r="F22" s="30">
        <f>60+2.52</f>
        <v>62.52</v>
      </c>
      <c r="G22" s="29"/>
      <c r="H22" s="30">
        <f>60+8.39</f>
        <v>68.39</v>
      </c>
      <c r="I22" s="31"/>
      <c r="J22" s="30">
        <f>59.83</f>
        <v>59.83</v>
      </c>
      <c r="K22" s="29"/>
      <c r="L22" s="30">
        <f>60+27.5</f>
        <v>87.5</v>
      </c>
      <c r="M22" s="29"/>
      <c r="N22" s="30">
        <f>60+14.78</f>
        <v>74.78</v>
      </c>
      <c r="O22" s="29"/>
      <c r="P22" s="30">
        <f>44.56</f>
        <v>44.56</v>
      </c>
      <c r="Q22" s="29"/>
      <c r="R22" s="30">
        <f>60+12.21</f>
        <v>72.210000000000008</v>
      </c>
      <c r="S22" s="29"/>
      <c r="T22" s="30">
        <v>0</v>
      </c>
      <c r="U22" s="32">
        <v>9999</v>
      </c>
      <c r="V22" s="42">
        <f t="shared" si="0"/>
        <v>562.36</v>
      </c>
      <c r="W22" s="42">
        <f t="shared" si="1"/>
        <v>140.59</v>
      </c>
      <c r="X22" s="27">
        <f t="shared" si="2"/>
        <v>9999</v>
      </c>
      <c r="Y22" s="43">
        <v>9999</v>
      </c>
      <c r="Z22" s="44">
        <v>20</v>
      </c>
    </row>
    <row r="23" spans="1:26" ht="18" x14ac:dyDescent="0.2">
      <c r="A23" s="21">
        <v>30</v>
      </c>
      <c r="B23" s="21" t="s">
        <v>23</v>
      </c>
      <c r="C23" s="21" t="s">
        <v>60</v>
      </c>
      <c r="D23" s="22">
        <f>60+20.38</f>
        <v>80.38</v>
      </c>
      <c r="E23" s="23">
        <v>2</v>
      </c>
      <c r="F23" s="24">
        <f>44.77</f>
        <v>44.77</v>
      </c>
      <c r="G23" s="23"/>
      <c r="H23" s="24">
        <f>44.12</f>
        <v>44.12</v>
      </c>
      <c r="I23" s="25"/>
      <c r="J23" s="24">
        <f>43</f>
        <v>43</v>
      </c>
      <c r="K23" s="23"/>
      <c r="L23" s="24">
        <f>48.08</f>
        <v>48.08</v>
      </c>
      <c r="M23" s="23"/>
      <c r="N23" s="24">
        <f>54.41</f>
        <v>54.41</v>
      </c>
      <c r="O23" s="23"/>
      <c r="P23" s="24">
        <f>33.39</f>
        <v>33.39</v>
      </c>
      <c r="Q23" s="23"/>
      <c r="R23" s="24">
        <f>41.14</f>
        <v>41.14</v>
      </c>
      <c r="S23" s="23"/>
      <c r="T23" s="24">
        <v>0</v>
      </c>
      <c r="U23" s="26">
        <v>9999</v>
      </c>
      <c r="V23" s="38">
        <f t="shared" si="0"/>
        <v>389.28999999999996</v>
      </c>
      <c r="W23" s="38">
        <f t="shared" si="1"/>
        <v>97.322499999999991</v>
      </c>
      <c r="X23" s="21">
        <f t="shared" si="2"/>
        <v>10001</v>
      </c>
      <c r="Y23" s="39">
        <v>9999</v>
      </c>
      <c r="Z23" s="40">
        <v>21</v>
      </c>
    </row>
    <row r="24" spans="1:26" ht="18" x14ac:dyDescent="0.2">
      <c r="A24" s="27">
        <v>62</v>
      </c>
      <c r="B24" s="27" t="s">
        <v>23</v>
      </c>
      <c r="C24" s="27" t="s">
        <v>87</v>
      </c>
      <c r="D24" s="28">
        <f>60+43.78</f>
        <v>103.78</v>
      </c>
      <c r="E24" s="29"/>
      <c r="F24" s="30">
        <f>60+18.31</f>
        <v>78.31</v>
      </c>
      <c r="G24" s="29"/>
      <c r="H24" s="30">
        <v>9999</v>
      </c>
      <c r="I24" s="31"/>
      <c r="J24" s="30">
        <f>60+4.77</f>
        <v>64.77</v>
      </c>
      <c r="K24" s="29"/>
      <c r="L24" s="30">
        <f>60+35.01</f>
        <v>95.009999999999991</v>
      </c>
      <c r="M24" s="29"/>
      <c r="N24" s="30">
        <f>60+22.27</f>
        <v>82.27</v>
      </c>
      <c r="O24" s="29"/>
      <c r="P24" s="30">
        <f>56.5</f>
        <v>56.5</v>
      </c>
      <c r="Q24" s="29"/>
      <c r="R24" s="30">
        <v>9999</v>
      </c>
      <c r="S24" s="29"/>
      <c r="T24" s="30">
        <f>60+40.78</f>
        <v>100.78</v>
      </c>
      <c r="U24" s="32"/>
      <c r="V24" s="42">
        <f t="shared" si="0"/>
        <v>20579.419999999998</v>
      </c>
      <c r="W24" s="42">
        <f t="shared" si="1"/>
        <v>5144.8549999999996</v>
      </c>
      <c r="X24" s="27">
        <f t="shared" si="2"/>
        <v>0</v>
      </c>
      <c r="Y24" s="43">
        <v>9999</v>
      </c>
      <c r="Z24" s="44">
        <v>22</v>
      </c>
    </row>
    <row r="27" spans="1:26" ht="19" thickBot="1" x14ac:dyDescent="0.25">
      <c r="A27" s="1" t="s">
        <v>0</v>
      </c>
      <c r="B27" s="2"/>
      <c r="C27" s="3"/>
      <c r="D27" s="4"/>
      <c r="E27" s="3"/>
      <c r="F27" s="4"/>
      <c r="G27" s="3"/>
      <c r="H27" s="4"/>
      <c r="I27" s="5"/>
      <c r="J27" s="4"/>
      <c r="K27" s="3"/>
      <c r="L27" s="4"/>
      <c r="M27" s="3"/>
      <c r="N27" s="4"/>
      <c r="O27" s="3"/>
      <c r="P27" s="4"/>
      <c r="Q27" s="3"/>
      <c r="R27" s="4"/>
      <c r="S27" s="3"/>
      <c r="T27" s="4"/>
      <c r="U27" s="3"/>
      <c r="V27" s="4"/>
      <c r="W27" s="4"/>
      <c r="X27" s="3"/>
      <c r="Y27" s="6"/>
      <c r="Z27" s="5"/>
    </row>
    <row r="28" spans="1:26" ht="19" thickBot="1" x14ac:dyDescent="0.25">
      <c r="A28" s="7" t="s">
        <v>1</v>
      </c>
      <c r="B28" s="8" t="s">
        <v>2</v>
      </c>
      <c r="C28" s="9" t="s">
        <v>3</v>
      </c>
      <c r="D28" s="10" t="s">
        <v>4</v>
      </c>
      <c r="E28" s="12"/>
      <c r="F28" s="17" t="s">
        <v>5</v>
      </c>
      <c r="G28" s="18"/>
      <c r="H28" s="17" t="s">
        <v>6</v>
      </c>
      <c r="I28" s="19"/>
      <c r="J28" s="17" t="s">
        <v>7</v>
      </c>
      <c r="K28" s="12"/>
      <c r="L28" s="17" t="s">
        <v>8</v>
      </c>
      <c r="M28" s="12"/>
      <c r="N28" s="17" t="s">
        <v>9</v>
      </c>
      <c r="O28" s="12"/>
      <c r="P28" s="17" t="s">
        <v>10</v>
      </c>
      <c r="Q28" s="12"/>
      <c r="R28" s="17" t="s">
        <v>11</v>
      </c>
      <c r="S28" s="12"/>
      <c r="T28" s="17" t="s">
        <v>12</v>
      </c>
      <c r="U28" s="20"/>
      <c r="V28" s="10" t="s">
        <v>13</v>
      </c>
      <c r="W28" s="11" t="s">
        <v>14</v>
      </c>
      <c r="X28" s="12" t="s">
        <v>15</v>
      </c>
      <c r="Y28" s="13" t="s">
        <v>16</v>
      </c>
      <c r="Z28" s="14" t="s">
        <v>17</v>
      </c>
    </row>
    <row r="29" spans="1:26" ht="18" x14ac:dyDescent="0.2">
      <c r="A29" s="27">
        <v>68</v>
      </c>
      <c r="B29" s="27" t="s">
        <v>35</v>
      </c>
      <c r="C29" s="27" t="s">
        <v>93</v>
      </c>
      <c r="D29" s="28">
        <f>60+14.75</f>
        <v>74.75</v>
      </c>
      <c r="E29" s="29">
        <v>2</v>
      </c>
      <c r="F29" s="30">
        <f>44.07</f>
        <v>44.07</v>
      </c>
      <c r="G29" s="29"/>
      <c r="H29" s="30">
        <f>43.44</f>
        <v>43.44</v>
      </c>
      <c r="I29" s="31"/>
      <c r="J29" s="30">
        <f>42.39</f>
        <v>42.39</v>
      </c>
      <c r="K29" s="29"/>
      <c r="L29" s="30">
        <f>50.72</f>
        <v>50.72</v>
      </c>
      <c r="M29" s="29"/>
      <c r="N29" s="30">
        <f>58.72</f>
        <v>58.72</v>
      </c>
      <c r="O29" s="29"/>
      <c r="P29" s="30">
        <f>32.34</f>
        <v>32.340000000000003</v>
      </c>
      <c r="Q29" s="29"/>
      <c r="R29" s="30">
        <f>42.69</f>
        <v>42.69</v>
      </c>
      <c r="S29" s="29"/>
      <c r="T29" s="30">
        <f>60+3.77</f>
        <v>63.77</v>
      </c>
      <c r="U29" s="32"/>
      <c r="V29" s="38">
        <f t="shared" ref="V29:V38" si="4">D29+F29+H29+J29+L29+N29+P29+R29+T29</f>
        <v>452.88999999999993</v>
      </c>
      <c r="W29" s="38">
        <f t="shared" ref="W29:W38" si="5">V29*0.25</f>
        <v>113.22249999999998</v>
      </c>
      <c r="X29" s="21">
        <f t="shared" ref="X29:X38" si="6">E29+G29+I29+K29+M29+O29+Q29+S29+U29</f>
        <v>2</v>
      </c>
      <c r="Y29" s="39">
        <f t="shared" ref="Y29:Y38" si="7">W29+X29</f>
        <v>115.22249999999998</v>
      </c>
      <c r="Z29" s="40">
        <v>1</v>
      </c>
    </row>
    <row r="30" spans="1:26" ht="18" x14ac:dyDescent="0.2">
      <c r="A30" s="27">
        <v>12</v>
      </c>
      <c r="B30" s="27" t="s">
        <v>35</v>
      </c>
      <c r="C30" s="27" t="s">
        <v>38</v>
      </c>
      <c r="D30" s="28">
        <f>60+29.63</f>
        <v>89.63</v>
      </c>
      <c r="E30" s="29">
        <v>2</v>
      </c>
      <c r="F30" s="30">
        <f>53.51</f>
        <v>53.51</v>
      </c>
      <c r="G30" s="29"/>
      <c r="H30" s="30">
        <f>49.76</f>
        <v>49.76</v>
      </c>
      <c r="I30" s="31"/>
      <c r="J30" s="30">
        <f>60+20.64</f>
        <v>80.64</v>
      </c>
      <c r="K30" s="29"/>
      <c r="L30" s="30">
        <f>60+5.06</f>
        <v>65.06</v>
      </c>
      <c r="M30" s="29"/>
      <c r="N30" s="30">
        <f>60+0.03</f>
        <v>60.03</v>
      </c>
      <c r="O30" s="29"/>
      <c r="P30" s="30">
        <f>37.24</f>
        <v>37.24</v>
      </c>
      <c r="Q30" s="29"/>
      <c r="R30" s="30">
        <f>51.59</f>
        <v>51.59</v>
      </c>
      <c r="S30" s="29">
        <v>2</v>
      </c>
      <c r="T30" s="30">
        <f>60+3.89</f>
        <v>63.89</v>
      </c>
      <c r="U30" s="32"/>
      <c r="V30" s="38">
        <f t="shared" si="4"/>
        <v>551.35</v>
      </c>
      <c r="W30" s="38">
        <f t="shared" si="5"/>
        <v>137.83750000000001</v>
      </c>
      <c r="X30" s="21">
        <f t="shared" si="6"/>
        <v>4</v>
      </c>
      <c r="Y30" s="39">
        <f t="shared" si="7"/>
        <v>141.83750000000001</v>
      </c>
      <c r="Z30" s="40">
        <v>2</v>
      </c>
    </row>
    <row r="31" spans="1:26" ht="18" x14ac:dyDescent="0.2">
      <c r="A31" s="27">
        <v>35</v>
      </c>
      <c r="B31" s="27" t="s">
        <v>35</v>
      </c>
      <c r="C31" s="27" t="s">
        <v>66</v>
      </c>
      <c r="D31" s="28">
        <f>60+38.49</f>
        <v>98.490000000000009</v>
      </c>
      <c r="E31" s="29"/>
      <c r="F31" s="30">
        <f>57.46</f>
        <v>57.46</v>
      </c>
      <c r="G31" s="29"/>
      <c r="H31" s="30">
        <f>57.25</f>
        <v>57.25</v>
      </c>
      <c r="I31" s="31"/>
      <c r="J31" s="30">
        <f>55.7</f>
        <v>55.7</v>
      </c>
      <c r="K31" s="29"/>
      <c r="L31" s="30">
        <f>60+5.63</f>
        <v>65.63</v>
      </c>
      <c r="M31" s="29"/>
      <c r="N31" s="30">
        <f>60+11.69</f>
        <v>71.69</v>
      </c>
      <c r="O31" s="29"/>
      <c r="P31" s="30">
        <f>44.57</f>
        <v>44.57</v>
      </c>
      <c r="Q31" s="29"/>
      <c r="R31" s="30">
        <f>50.9</f>
        <v>50.9</v>
      </c>
      <c r="S31" s="29"/>
      <c r="T31" s="30">
        <f>60+24.93</f>
        <v>84.93</v>
      </c>
      <c r="U31" s="32"/>
      <c r="V31" s="38">
        <f t="shared" si="4"/>
        <v>586.62</v>
      </c>
      <c r="W31" s="38">
        <f t="shared" si="5"/>
        <v>146.655</v>
      </c>
      <c r="X31" s="21">
        <f t="shared" si="6"/>
        <v>0</v>
      </c>
      <c r="Y31" s="39">
        <f t="shared" si="7"/>
        <v>146.655</v>
      </c>
      <c r="Z31" s="40">
        <v>3</v>
      </c>
    </row>
    <row r="32" spans="1:26" ht="18" x14ac:dyDescent="0.2">
      <c r="A32" s="27">
        <v>71</v>
      </c>
      <c r="B32" s="27" t="s">
        <v>35</v>
      </c>
      <c r="C32" s="27" t="s">
        <v>98</v>
      </c>
      <c r="D32" s="28">
        <f>60+9.44</f>
        <v>69.44</v>
      </c>
      <c r="E32" s="29"/>
      <c r="F32" s="30">
        <f>54.12</f>
        <v>54.12</v>
      </c>
      <c r="G32" s="29"/>
      <c r="H32" s="30">
        <f>60+9.08</f>
        <v>69.08</v>
      </c>
      <c r="I32" s="31"/>
      <c r="J32" s="30">
        <f>47.97</f>
        <v>47.97</v>
      </c>
      <c r="K32" s="29"/>
      <c r="L32" s="30">
        <f>60+0.08</f>
        <v>60.08</v>
      </c>
      <c r="M32" s="29"/>
      <c r="N32" s="30">
        <f>60+4.63</f>
        <v>64.63</v>
      </c>
      <c r="O32" s="29"/>
      <c r="P32" s="30">
        <f>54.21</f>
        <v>54.21</v>
      </c>
      <c r="Q32" s="29">
        <v>20</v>
      </c>
      <c r="R32" s="30">
        <f>49.72</f>
        <v>49.72</v>
      </c>
      <c r="S32" s="29"/>
      <c r="T32" s="30">
        <f>60+13.58</f>
        <v>73.58</v>
      </c>
      <c r="U32" s="32"/>
      <c r="V32" s="38">
        <f t="shared" si="4"/>
        <v>542.83000000000004</v>
      </c>
      <c r="W32" s="38">
        <f t="shared" si="5"/>
        <v>135.70750000000001</v>
      </c>
      <c r="X32" s="21">
        <f t="shared" si="6"/>
        <v>20</v>
      </c>
      <c r="Y32" s="39">
        <f t="shared" si="7"/>
        <v>155.70750000000001</v>
      </c>
      <c r="Z32" s="40">
        <v>4</v>
      </c>
    </row>
    <row r="33" spans="1:26" ht="18" x14ac:dyDescent="0.2">
      <c r="A33" s="27">
        <v>53</v>
      </c>
      <c r="B33" s="27" t="s">
        <v>35</v>
      </c>
      <c r="C33" s="27" t="s">
        <v>78</v>
      </c>
      <c r="D33" s="28">
        <f>60+30.58</f>
        <v>90.58</v>
      </c>
      <c r="E33" s="29"/>
      <c r="F33" s="30">
        <f>60+6.82</f>
        <v>66.819999999999993</v>
      </c>
      <c r="G33" s="29"/>
      <c r="H33" s="30">
        <f>60+0.41</f>
        <v>60.41</v>
      </c>
      <c r="I33" s="31"/>
      <c r="J33" s="30">
        <f>60+31.94</f>
        <v>91.94</v>
      </c>
      <c r="K33" s="29"/>
      <c r="L33" s="30">
        <f>60+9.81</f>
        <v>69.81</v>
      </c>
      <c r="M33" s="29"/>
      <c r="N33" s="30">
        <f>60+16.26</f>
        <v>76.260000000000005</v>
      </c>
      <c r="O33" s="29"/>
      <c r="P33" s="30">
        <f>49.67</f>
        <v>49.67</v>
      </c>
      <c r="Q33" s="29"/>
      <c r="R33" s="30">
        <f>53.77</f>
        <v>53.77</v>
      </c>
      <c r="S33" s="29"/>
      <c r="T33" s="30">
        <f>60+12.7</f>
        <v>72.7</v>
      </c>
      <c r="U33" s="32"/>
      <c r="V33" s="38">
        <f t="shared" si="4"/>
        <v>631.96</v>
      </c>
      <c r="W33" s="38">
        <f t="shared" si="5"/>
        <v>157.99</v>
      </c>
      <c r="X33" s="21">
        <f t="shared" si="6"/>
        <v>0</v>
      </c>
      <c r="Y33" s="39">
        <f t="shared" si="7"/>
        <v>157.99</v>
      </c>
      <c r="Z33" s="40">
        <v>5</v>
      </c>
    </row>
    <row r="34" spans="1:26" ht="18" x14ac:dyDescent="0.2">
      <c r="A34" s="27">
        <v>72</v>
      </c>
      <c r="B34" s="27" t="s">
        <v>35</v>
      </c>
      <c r="C34" s="27" t="s">
        <v>96</v>
      </c>
      <c r="D34" s="28">
        <f>60+26.87</f>
        <v>86.87</v>
      </c>
      <c r="E34" s="29"/>
      <c r="F34" s="30">
        <f>53.56</f>
        <v>53.56</v>
      </c>
      <c r="G34" s="29"/>
      <c r="H34" s="30">
        <f>60+1.03</f>
        <v>61.03</v>
      </c>
      <c r="I34" s="31">
        <v>20</v>
      </c>
      <c r="J34" s="30">
        <f>51.96</f>
        <v>51.96</v>
      </c>
      <c r="K34" s="29"/>
      <c r="L34" s="30">
        <f>60+4.28</f>
        <v>64.28</v>
      </c>
      <c r="M34" s="29"/>
      <c r="N34" s="30">
        <f>60+2.69</f>
        <v>62.69</v>
      </c>
      <c r="O34" s="29"/>
      <c r="P34" s="30">
        <f>46.58</f>
        <v>46.58</v>
      </c>
      <c r="Q34" s="29"/>
      <c r="R34" s="30">
        <f>46.37</f>
        <v>46.37</v>
      </c>
      <c r="S34" s="29">
        <v>2</v>
      </c>
      <c r="T34" s="30">
        <f>60+11.5</f>
        <v>71.5</v>
      </c>
      <c r="U34" s="32"/>
      <c r="V34" s="38">
        <f t="shared" si="4"/>
        <v>544.84</v>
      </c>
      <c r="W34" s="38">
        <f t="shared" si="5"/>
        <v>136.21</v>
      </c>
      <c r="X34" s="21">
        <f t="shared" si="6"/>
        <v>22</v>
      </c>
      <c r="Y34" s="39">
        <f t="shared" si="7"/>
        <v>158.21</v>
      </c>
      <c r="Z34" s="40">
        <v>6</v>
      </c>
    </row>
    <row r="35" spans="1:26" ht="18" x14ac:dyDescent="0.2">
      <c r="A35" s="27">
        <v>38</v>
      </c>
      <c r="B35" s="27" t="s">
        <v>35</v>
      </c>
      <c r="C35" s="27" t="s">
        <v>68</v>
      </c>
      <c r="D35" s="28">
        <f>60+32.43</f>
        <v>92.43</v>
      </c>
      <c r="E35" s="29"/>
      <c r="F35" s="30">
        <f>59.02</f>
        <v>59.02</v>
      </c>
      <c r="G35" s="29"/>
      <c r="H35" s="30">
        <f>60+28.32</f>
        <v>88.32</v>
      </c>
      <c r="I35" s="31">
        <v>4</v>
      </c>
      <c r="J35" s="30">
        <f>59.57</f>
        <v>59.57</v>
      </c>
      <c r="K35" s="29"/>
      <c r="L35" s="30">
        <f>60+9.76</f>
        <v>69.760000000000005</v>
      </c>
      <c r="M35" s="29"/>
      <c r="N35" s="30">
        <f>60+6.69</f>
        <v>66.69</v>
      </c>
      <c r="O35" s="29"/>
      <c r="P35" s="30">
        <f>41.15</f>
        <v>41.15</v>
      </c>
      <c r="Q35" s="29"/>
      <c r="R35" s="30">
        <f>47.51</f>
        <v>47.51</v>
      </c>
      <c r="S35" s="29">
        <v>2</v>
      </c>
      <c r="T35" s="30">
        <f>60+27.34</f>
        <v>87.34</v>
      </c>
      <c r="U35" s="32"/>
      <c r="V35" s="38">
        <f t="shared" si="4"/>
        <v>611.79000000000008</v>
      </c>
      <c r="W35" s="38">
        <f t="shared" si="5"/>
        <v>152.94750000000002</v>
      </c>
      <c r="X35" s="21">
        <f t="shared" si="6"/>
        <v>6</v>
      </c>
      <c r="Y35" s="39">
        <f t="shared" si="7"/>
        <v>158.94750000000002</v>
      </c>
      <c r="Z35" s="40">
        <v>7</v>
      </c>
    </row>
    <row r="36" spans="1:26" ht="18" x14ac:dyDescent="0.2">
      <c r="A36" s="27">
        <v>40</v>
      </c>
      <c r="B36" s="27" t="s">
        <v>35</v>
      </c>
      <c r="C36" s="27" t="s">
        <v>85</v>
      </c>
      <c r="D36" s="28">
        <f>60+30.3</f>
        <v>90.3</v>
      </c>
      <c r="E36" s="29">
        <v>2</v>
      </c>
      <c r="F36" s="30">
        <f>59.44</f>
        <v>59.44</v>
      </c>
      <c r="G36" s="29"/>
      <c r="H36" s="30">
        <f>60+5.14</f>
        <v>65.14</v>
      </c>
      <c r="I36" s="31"/>
      <c r="J36" s="30">
        <f>52.57</f>
        <v>52.57</v>
      </c>
      <c r="K36" s="29"/>
      <c r="L36" s="30">
        <f>60+60+22.52</f>
        <v>142.52000000000001</v>
      </c>
      <c r="M36" s="29">
        <v>5</v>
      </c>
      <c r="N36" s="30">
        <f>60+9.5</f>
        <v>69.5</v>
      </c>
      <c r="O36" s="29"/>
      <c r="P36" s="30">
        <f>41.81</f>
        <v>41.81</v>
      </c>
      <c r="Q36" s="29"/>
      <c r="R36" s="30">
        <f>48.26</f>
        <v>48.26</v>
      </c>
      <c r="S36" s="29"/>
      <c r="T36" s="30">
        <f>60+12.14</f>
        <v>72.14</v>
      </c>
      <c r="U36" s="32"/>
      <c r="V36" s="38">
        <f t="shared" si="4"/>
        <v>641.67999999999995</v>
      </c>
      <c r="W36" s="38">
        <f t="shared" si="5"/>
        <v>160.41999999999999</v>
      </c>
      <c r="X36" s="21">
        <f t="shared" si="6"/>
        <v>7</v>
      </c>
      <c r="Y36" s="39">
        <f t="shared" si="7"/>
        <v>167.42</v>
      </c>
      <c r="Z36" s="40">
        <v>8</v>
      </c>
    </row>
    <row r="37" spans="1:26" ht="18" x14ac:dyDescent="0.2">
      <c r="A37" s="27">
        <v>36</v>
      </c>
      <c r="B37" s="27" t="s">
        <v>35</v>
      </c>
      <c r="C37" s="27" t="s">
        <v>67</v>
      </c>
      <c r="D37" s="28">
        <f>60+45.63</f>
        <v>105.63</v>
      </c>
      <c r="E37" s="29">
        <v>4</v>
      </c>
      <c r="F37" s="30">
        <f>60+21.77</f>
        <v>81.77</v>
      </c>
      <c r="G37" s="29"/>
      <c r="H37" s="30">
        <f>60+18.12</f>
        <v>78.12</v>
      </c>
      <c r="I37" s="31"/>
      <c r="J37" s="30">
        <f>60+23.01</f>
        <v>83.01</v>
      </c>
      <c r="K37" s="29"/>
      <c r="L37" s="30">
        <f>60+27.5</f>
        <v>87.5</v>
      </c>
      <c r="M37" s="29"/>
      <c r="N37" s="30">
        <f>60+19.32</f>
        <v>79.319999999999993</v>
      </c>
      <c r="O37" s="29"/>
      <c r="P37" s="30">
        <f>60+2.76</f>
        <v>62.76</v>
      </c>
      <c r="Q37" s="29"/>
      <c r="R37" s="30">
        <f>60+9.19</f>
        <v>69.19</v>
      </c>
      <c r="S37" s="29"/>
      <c r="T37" s="30">
        <f>60+44.51</f>
        <v>104.50999999999999</v>
      </c>
      <c r="U37" s="32"/>
      <c r="V37" s="38">
        <f t="shared" si="4"/>
        <v>751.81</v>
      </c>
      <c r="W37" s="38">
        <f t="shared" si="5"/>
        <v>187.95249999999999</v>
      </c>
      <c r="X37" s="21">
        <f t="shared" si="6"/>
        <v>4</v>
      </c>
      <c r="Y37" s="39">
        <f t="shared" si="7"/>
        <v>191.95249999999999</v>
      </c>
      <c r="Z37" s="40">
        <v>9</v>
      </c>
    </row>
    <row r="38" spans="1:26" ht="18" x14ac:dyDescent="0.2">
      <c r="A38" s="27">
        <v>47</v>
      </c>
      <c r="B38" s="27" t="s">
        <v>35</v>
      </c>
      <c r="C38" s="27" t="s">
        <v>72</v>
      </c>
      <c r="D38" s="28">
        <f>60+41.44</f>
        <v>101.44</v>
      </c>
      <c r="E38" s="29">
        <v>2</v>
      </c>
      <c r="F38" s="30">
        <f>60+16.96</f>
        <v>76.960000000000008</v>
      </c>
      <c r="G38" s="29"/>
      <c r="H38" s="30">
        <f>60+8.81</f>
        <v>68.81</v>
      </c>
      <c r="I38" s="31"/>
      <c r="J38" s="30">
        <f>85.44</f>
        <v>85.44</v>
      </c>
      <c r="K38" s="29">
        <v>20</v>
      </c>
      <c r="L38" s="30">
        <f>60+25.5</f>
        <v>85.5</v>
      </c>
      <c r="M38" s="29"/>
      <c r="N38" s="30">
        <f>60+22.09</f>
        <v>82.09</v>
      </c>
      <c r="O38" s="29"/>
      <c r="P38" s="30">
        <v>49.87</v>
      </c>
      <c r="Q38" s="29"/>
      <c r="R38" s="30">
        <f>60+2.5</f>
        <v>62.5</v>
      </c>
      <c r="S38" s="29"/>
      <c r="T38" s="30">
        <f>60+24.01</f>
        <v>84.01</v>
      </c>
      <c r="U38" s="32">
        <v>2</v>
      </c>
      <c r="V38" s="38">
        <f t="shared" si="4"/>
        <v>696.62</v>
      </c>
      <c r="W38" s="38">
        <f t="shared" si="5"/>
        <v>174.155</v>
      </c>
      <c r="X38" s="21">
        <f t="shared" si="6"/>
        <v>24</v>
      </c>
      <c r="Y38" s="39">
        <f t="shared" si="7"/>
        <v>198.155</v>
      </c>
      <c r="Z38" s="40">
        <v>10</v>
      </c>
    </row>
    <row r="40" spans="1:26" ht="19" thickBot="1" x14ac:dyDescent="0.25">
      <c r="A40" s="15" t="s">
        <v>21</v>
      </c>
      <c r="B40" s="3"/>
      <c r="C40" s="3"/>
      <c r="D40" s="4"/>
      <c r="E40" s="3"/>
      <c r="F40" s="4"/>
      <c r="G40" s="3"/>
      <c r="H40" s="4"/>
      <c r="I40" s="5"/>
      <c r="J40" s="4"/>
      <c r="K40" s="3"/>
      <c r="L40" s="4"/>
      <c r="M40" s="3"/>
      <c r="N40" s="4"/>
      <c r="O40" s="3"/>
      <c r="P40" s="4"/>
      <c r="Q40" s="3"/>
      <c r="R40" s="4"/>
      <c r="S40" s="3"/>
      <c r="T40" s="4"/>
      <c r="U40" s="3"/>
      <c r="V40" s="4"/>
      <c r="W40" s="4"/>
      <c r="X40" s="3"/>
      <c r="Y40" s="6"/>
      <c r="Z40" s="5"/>
    </row>
    <row r="41" spans="1:26" ht="19" thickBot="1" x14ac:dyDescent="0.25">
      <c r="A41" s="7" t="s">
        <v>1</v>
      </c>
      <c r="B41" s="8" t="s">
        <v>2</v>
      </c>
      <c r="C41" s="9" t="s">
        <v>3</v>
      </c>
      <c r="D41" s="11" t="s">
        <v>4</v>
      </c>
      <c r="E41" s="12"/>
      <c r="F41" s="17" t="s">
        <v>5</v>
      </c>
      <c r="G41" s="18"/>
      <c r="H41" s="17" t="s">
        <v>6</v>
      </c>
      <c r="I41" s="19"/>
      <c r="J41" s="17" t="s">
        <v>7</v>
      </c>
      <c r="K41" s="12"/>
      <c r="L41" s="17" t="s">
        <v>8</v>
      </c>
      <c r="M41" s="12"/>
      <c r="N41" s="17" t="s">
        <v>9</v>
      </c>
      <c r="O41" s="12"/>
      <c r="P41" s="17" t="s">
        <v>10</v>
      </c>
      <c r="Q41" s="12"/>
      <c r="R41" s="17" t="s">
        <v>11</v>
      </c>
      <c r="S41" s="12"/>
      <c r="T41" s="17" t="s">
        <v>12</v>
      </c>
      <c r="U41" s="45"/>
      <c r="V41" s="10" t="s">
        <v>13</v>
      </c>
      <c r="W41" s="11" t="s">
        <v>14</v>
      </c>
      <c r="X41" s="12" t="s">
        <v>15</v>
      </c>
      <c r="Y41" s="16" t="s">
        <v>16</v>
      </c>
      <c r="Z41" s="14" t="s">
        <v>17</v>
      </c>
    </row>
    <row r="42" spans="1:26" ht="18" x14ac:dyDescent="0.2">
      <c r="A42" s="21">
        <v>70</v>
      </c>
      <c r="B42" s="21" t="s">
        <v>29</v>
      </c>
      <c r="C42" s="21" t="s">
        <v>30</v>
      </c>
      <c r="D42" s="28">
        <f>60+58.43</f>
        <v>118.43</v>
      </c>
      <c r="E42" s="29"/>
      <c r="F42" s="30">
        <f>60+3.66</f>
        <v>63.66</v>
      </c>
      <c r="G42" s="29"/>
      <c r="H42" s="30">
        <f>60+8.43</f>
        <v>68.430000000000007</v>
      </c>
      <c r="I42" s="31"/>
      <c r="J42" s="30">
        <f>60+7.76</f>
        <v>67.760000000000005</v>
      </c>
      <c r="K42" s="29"/>
      <c r="L42" s="30">
        <f>60+23.02</f>
        <v>83.02</v>
      </c>
      <c r="M42" s="29"/>
      <c r="N42" s="30">
        <f>60+11.26</f>
        <v>71.260000000000005</v>
      </c>
      <c r="O42" s="29"/>
      <c r="P42" s="30">
        <f>47.95</f>
        <v>47.95</v>
      </c>
      <c r="Q42" s="29"/>
      <c r="R42" s="30">
        <f>53.71</f>
        <v>53.71</v>
      </c>
      <c r="S42" s="29">
        <v>2</v>
      </c>
      <c r="T42" s="30">
        <f>60+15.97</f>
        <v>75.97</v>
      </c>
      <c r="U42" s="32"/>
      <c r="V42" s="38">
        <f t="shared" ref="V42:V48" si="8">D42+F42+H42+J42+L42+N42+P42+R42+T42</f>
        <v>650.19000000000005</v>
      </c>
      <c r="W42" s="38">
        <f t="shared" ref="W42:W48" si="9">V42*0.25</f>
        <v>162.54750000000001</v>
      </c>
      <c r="X42" s="21">
        <f t="shared" ref="X42:X48" si="10">E42+G42+I42+K42+M42+O42+Q42+S42+U42</f>
        <v>2</v>
      </c>
      <c r="Y42" s="41">
        <f t="shared" ref="Y42:Y47" si="11">W42+X42</f>
        <v>164.54750000000001</v>
      </c>
      <c r="Z42" s="40">
        <v>1</v>
      </c>
    </row>
    <row r="43" spans="1:26" ht="18" x14ac:dyDescent="0.2">
      <c r="A43" s="27">
        <v>69</v>
      </c>
      <c r="B43" s="27" t="s">
        <v>29</v>
      </c>
      <c r="C43" s="27" t="s">
        <v>94</v>
      </c>
      <c r="D43" s="28">
        <f>60+42.32</f>
        <v>102.32</v>
      </c>
      <c r="E43" s="29"/>
      <c r="F43" s="30">
        <f>60+11.71</f>
        <v>71.710000000000008</v>
      </c>
      <c r="G43" s="29"/>
      <c r="H43" s="30">
        <f>60+7.44</f>
        <v>67.44</v>
      </c>
      <c r="I43" s="31"/>
      <c r="J43" s="30">
        <f>60+2.1</f>
        <v>62.1</v>
      </c>
      <c r="K43" s="29"/>
      <c r="L43" s="30">
        <f>60+19.58</f>
        <v>79.58</v>
      </c>
      <c r="M43" s="29"/>
      <c r="N43" s="30">
        <f>60+14.69</f>
        <v>74.69</v>
      </c>
      <c r="O43" s="29"/>
      <c r="P43" s="30">
        <f>50.26</f>
        <v>50.26</v>
      </c>
      <c r="Q43" s="29"/>
      <c r="R43" s="30">
        <f>56.31</f>
        <v>56.31</v>
      </c>
      <c r="S43" s="29"/>
      <c r="T43" s="30">
        <f>60+49.09</f>
        <v>109.09</v>
      </c>
      <c r="U43" s="32"/>
      <c r="V43" s="42">
        <f t="shared" si="8"/>
        <v>673.5</v>
      </c>
      <c r="W43" s="42">
        <f t="shared" si="9"/>
        <v>168.375</v>
      </c>
      <c r="X43" s="27">
        <f t="shared" si="10"/>
        <v>0</v>
      </c>
      <c r="Y43" s="43">
        <f t="shared" si="11"/>
        <v>168.375</v>
      </c>
      <c r="Z43" s="44">
        <v>2</v>
      </c>
    </row>
    <row r="44" spans="1:26" ht="18" x14ac:dyDescent="0.2">
      <c r="A44" s="27">
        <v>45</v>
      </c>
      <c r="B44" s="27" t="s">
        <v>29</v>
      </c>
      <c r="C44" s="27" t="s">
        <v>80</v>
      </c>
      <c r="D44" s="46">
        <f>60+49.89</f>
        <v>109.89</v>
      </c>
      <c r="E44" s="47"/>
      <c r="F44" s="48">
        <f>60+16.07</f>
        <v>76.069999999999993</v>
      </c>
      <c r="G44" s="47"/>
      <c r="H44" s="48">
        <f>60+21.69</f>
        <v>81.69</v>
      </c>
      <c r="I44" s="49"/>
      <c r="J44" s="48">
        <f>60+18.21</f>
        <v>78.210000000000008</v>
      </c>
      <c r="K44" s="47"/>
      <c r="L44" s="48">
        <f>60+29.6</f>
        <v>89.6</v>
      </c>
      <c r="M44" s="47"/>
      <c r="N44" s="48">
        <f>60+28.88</f>
        <v>88.88</v>
      </c>
      <c r="O44" s="47"/>
      <c r="P44" s="48">
        <f>60+1.26</f>
        <v>61.26</v>
      </c>
      <c r="Q44" s="47"/>
      <c r="R44" s="48">
        <f>60+21.53</f>
        <v>81.53</v>
      </c>
      <c r="S44" s="47"/>
      <c r="T44" s="48">
        <f>60+35.64</f>
        <v>95.64</v>
      </c>
      <c r="U44" s="50"/>
      <c r="V44" s="42">
        <f t="shared" si="8"/>
        <v>762.77</v>
      </c>
      <c r="W44" s="42">
        <f t="shared" si="9"/>
        <v>190.6925</v>
      </c>
      <c r="X44" s="27">
        <f t="shared" si="10"/>
        <v>0</v>
      </c>
      <c r="Y44" s="43">
        <f t="shared" si="11"/>
        <v>190.6925</v>
      </c>
      <c r="Z44" s="44">
        <v>3</v>
      </c>
    </row>
    <row r="45" spans="1:26" ht="18" x14ac:dyDescent="0.2">
      <c r="A45" s="27">
        <v>14</v>
      </c>
      <c r="B45" s="27" t="s">
        <v>29</v>
      </c>
      <c r="C45" s="27" t="s">
        <v>42</v>
      </c>
      <c r="D45" s="46">
        <f>60+58.65</f>
        <v>118.65</v>
      </c>
      <c r="E45" s="47">
        <v>2</v>
      </c>
      <c r="F45" s="48">
        <f>60+10.12</f>
        <v>70.12</v>
      </c>
      <c r="G45" s="47"/>
      <c r="H45" s="48">
        <f>60+7.75</f>
        <v>67.75</v>
      </c>
      <c r="I45" s="49"/>
      <c r="J45" s="48">
        <f>60+10.96</f>
        <v>70.960000000000008</v>
      </c>
      <c r="K45" s="47"/>
      <c r="L45" s="48">
        <f>60+27.12</f>
        <v>87.12</v>
      </c>
      <c r="M45" s="47"/>
      <c r="N45" s="48">
        <f>60+35.71</f>
        <v>95.710000000000008</v>
      </c>
      <c r="O45" s="47"/>
      <c r="P45" s="48">
        <f>60+2.89</f>
        <v>62.89</v>
      </c>
      <c r="Q45" s="47"/>
      <c r="R45" s="48">
        <f>60+25.58</f>
        <v>85.58</v>
      </c>
      <c r="S45" s="47">
        <v>2</v>
      </c>
      <c r="T45" s="48">
        <f>60+37.21</f>
        <v>97.210000000000008</v>
      </c>
      <c r="U45" s="50"/>
      <c r="V45" s="42">
        <f t="shared" si="8"/>
        <v>755.99000000000012</v>
      </c>
      <c r="W45" s="42">
        <f t="shared" si="9"/>
        <v>188.99750000000003</v>
      </c>
      <c r="X45" s="27">
        <f t="shared" si="10"/>
        <v>4</v>
      </c>
      <c r="Y45" s="43">
        <f t="shared" si="11"/>
        <v>192.99750000000003</v>
      </c>
      <c r="Z45" s="44">
        <v>4</v>
      </c>
    </row>
    <row r="46" spans="1:26" ht="18" x14ac:dyDescent="0.2">
      <c r="A46" s="27">
        <v>48</v>
      </c>
      <c r="B46" s="27" t="s">
        <v>29</v>
      </c>
      <c r="C46" s="27" t="s">
        <v>95</v>
      </c>
      <c r="D46" s="46">
        <f>60+56.32</f>
        <v>116.32</v>
      </c>
      <c r="E46" s="47"/>
      <c r="F46" s="48">
        <f>60+15.08</f>
        <v>75.08</v>
      </c>
      <c r="G46" s="47"/>
      <c r="H46" s="48">
        <f>60+19.56</f>
        <v>79.56</v>
      </c>
      <c r="I46" s="49"/>
      <c r="J46" s="48">
        <f>60+15.63</f>
        <v>75.63</v>
      </c>
      <c r="K46" s="47"/>
      <c r="L46" s="48">
        <f>60+25.26</f>
        <v>85.26</v>
      </c>
      <c r="M46" s="47"/>
      <c r="N46" s="48">
        <f>60+24.08</f>
        <v>84.08</v>
      </c>
      <c r="O46" s="47"/>
      <c r="P46" s="48">
        <f>60+8.38</f>
        <v>68.38</v>
      </c>
      <c r="Q46" s="47"/>
      <c r="R46" s="48">
        <f>60+2.39</f>
        <v>62.39</v>
      </c>
      <c r="S46" s="47"/>
      <c r="T46" s="48">
        <f>60+60+6.52</f>
        <v>126.52</v>
      </c>
      <c r="U46" s="50"/>
      <c r="V46" s="42">
        <f t="shared" si="8"/>
        <v>773.21999999999991</v>
      </c>
      <c r="W46" s="42">
        <f t="shared" si="9"/>
        <v>193.30499999999998</v>
      </c>
      <c r="X46" s="27">
        <f t="shared" si="10"/>
        <v>0</v>
      </c>
      <c r="Y46" s="43">
        <f t="shared" si="11"/>
        <v>193.30499999999998</v>
      </c>
      <c r="Z46" s="44">
        <v>5</v>
      </c>
    </row>
    <row r="47" spans="1:26" ht="18" x14ac:dyDescent="0.2">
      <c r="A47" s="27">
        <v>67</v>
      </c>
      <c r="B47" s="27" t="s">
        <v>29</v>
      </c>
      <c r="C47" s="27" t="s">
        <v>92</v>
      </c>
      <c r="D47" s="46">
        <f>60+60+8.39</f>
        <v>128.38999999999999</v>
      </c>
      <c r="E47" s="47">
        <v>2</v>
      </c>
      <c r="F47" s="48">
        <f>60+25.95</f>
        <v>85.95</v>
      </c>
      <c r="G47" s="47"/>
      <c r="H47" s="48">
        <f>60+24.7</f>
        <v>84.7</v>
      </c>
      <c r="I47" s="49"/>
      <c r="J47" s="48">
        <f>60+28.06</f>
        <v>88.06</v>
      </c>
      <c r="K47" s="47"/>
      <c r="L47" s="48">
        <f>60+33.15</f>
        <v>93.15</v>
      </c>
      <c r="M47" s="47"/>
      <c r="N47" s="48">
        <f>60+35.57</f>
        <v>95.57</v>
      </c>
      <c r="O47" s="47"/>
      <c r="P47" s="48">
        <f>60+0.93</f>
        <v>60.93</v>
      </c>
      <c r="Q47" s="47"/>
      <c r="R47" s="48">
        <f>60+16.18</f>
        <v>76.180000000000007</v>
      </c>
      <c r="S47" s="47"/>
      <c r="T47" s="48">
        <f>60+36.5</f>
        <v>96.5</v>
      </c>
      <c r="U47" s="50"/>
      <c r="V47" s="42">
        <f t="shared" si="8"/>
        <v>809.42999999999984</v>
      </c>
      <c r="W47" s="42">
        <f t="shared" si="9"/>
        <v>202.35749999999996</v>
      </c>
      <c r="X47" s="27">
        <f t="shared" si="10"/>
        <v>2</v>
      </c>
      <c r="Y47" s="43">
        <f t="shared" si="11"/>
        <v>204.35749999999996</v>
      </c>
      <c r="Z47" s="44">
        <v>6</v>
      </c>
    </row>
    <row r="48" spans="1:26" ht="18" x14ac:dyDescent="0.2">
      <c r="A48" s="27">
        <v>57</v>
      </c>
      <c r="B48" s="27" t="s">
        <v>29</v>
      </c>
      <c r="C48" s="27" t="s">
        <v>82</v>
      </c>
      <c r="D48" s="33">
        <f>60+47.66</f>
        <v>107.66</v>
      </c>
      <c r="E48" s="34">
        <v>4</v>
      </c>
      <c r="F48" s="35">
        <f>60+17.39</f>
        <v>77.39</v>
      </c>
      <c r="G48" s="34"/>
      <c r="H48" s="35">
        <f>60+21.2</f>
        <v>81.2</v>
      </c>
      <c r="I48" s="36">
        <v>2</v>
      </c>
      <c r="J48" s="35">
        <f>60+7.01</f>
        <v>67.010000000000005</v>
      </c>
      <c r="K48" s="34"/>
      <c r="L48" s="35">
        <f>60+60+60+11.45</f>
        <v>191.45</v>
      </c>
      <c r="M48" s="34"/>
      <c r="N48" s="35">
        <f>60+60+60+60+37.69</f>
        <v>277.69</v>
      </c>
      <c r="O48" s="34">
        <v>9999</v>
      </c>
      <c r="P48" s="35">
        <f>60+10.46</f>
        <v>70.460000000000008</v>
      </c>
      <c r="Q48" s="34"/>
      <c r="R48" s="35">
        <f>60+15.65</f>
        <v>75.650000000000006</v>
      </c>
      <c r="S48" s="34"/>
      <c r="T48" s="35">
        <f>60+50.51</f>
        <v>110.50999999999999</v>
      </c>
      <c r="U48" s="37"/>
      <c r="V48" s="42">
        <f t="shared" si="8"/>
        <v>1059.02</v>
      </c>
      <c r="W48" s="42">
        <f t="shared" si="9"/>
        <v>264.755</v>
      </c>
      <c r="X48" s="27">
        <f t="shared" si="10"/>
        <v>10005</v>
      </c>
      <c r="Y48" s="43">
        <v>9999</v>
      </c>
      <c r="Z48" s="44">
        <v>7</v>
      </c>
    </row>
  </sheetData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workbookId="1e10232f-4421-432a-9f37-39e842b89d52" included="true" dataSnipperSheetDeleted="false" guid="d7a19e68-c348-42b2-ace9-683879a70011" revision="3"/>
</file>

<file path=customXml/itemProps1.xml><?xml version="1.0" encoding="utf-8"?>
<ds:datastoreItem xmlns:ds="http://schemas.openxmlformats.org/officeDocument/2006/customXml" ds:itemID="{09B46544-2D79-460D-A47E-CB7ED9C08C33}">
  <ds:schemaRefs>
    <ds:schemaRef ds:uri="http://datasnipper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Pony's</vt:lpstr>
      <vt:lpstr>Paarden</vt:lpstr>
    </vt:vector>
  </TitlesOfParts>
  <Manager/>
  <Company>MyCompany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Customer</dc:creator>
  <cp:keywords/>
  <dc:description/>
  <cp:lastModifiedBy>Meike Paridaans</cp:lastModifiedBy>
  <cp:revision/>
  <cp:lastPrinted>2024-08-31T16:25:25Z</cp:lastPrinted>
  <dcterms:created xsi:type="dcterms:W3CDTF">2018-09-02T14:02:12Z</dcterms:created>
  <dcterms:modified xsi:type="dcterms:W3CDTF">2024-09-04T06:04:44Z</dcterms:modified>
  <cp:category/>
  <cp:contentStatus/>
</cp:coreProperties>
</file>